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0\gymmk\Munka\2026\Gazdálkodás, költségvetés\"/>
    </mc:Choice>
  </mc:AlternateContent>
  <xr:revisionPtr revIDLastSave="0" documentId="8_{0EA7C416-E0A3-49A7-A1BA-03E796000A22}" xr6:coauthVersionLast="47" xr6:coauthVersionMax="47" xr10:uidLastSave="{00000000-0000-0000-0000-000000000000}"/>
  <bookViews>
    <workbookView xWindow="-120" yWindow="-120" windowWidth="29040" windowHeight="15720" xr2:uid="{5E232398-4623-7348-B3A0-4281FF1DD39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1" i="1" l="1"/>
  <c r="D129" i="1"/>
  <c r="D127" i="1"/>
  <c r="D125" i="1"/>
  <c r="G121" i="1"/>
  <c r="L104" i="1"/>
  <c r="K104" i="1"/>
  <c r="J104" i="1"/>
  <c r="I104" i="1"/>
  <c r="H104" i="1"/>
  <c r="G104" i="1"/>
  <c r="F104" i="1"/>
  <c r="E104" i="1"/>
  <c r="D104" i="1"/>
  <c r="C104" i="1"/>
  <c r="L98" i="1"/>
  <c r="K98" i="1"/>
  <c r="J98" i="1"/>
  <c r="I98" i="1"/>
  <c r="H98" i="1"/>
  <c r="F98" i="1"/>
  <c r="E98" i="1"/>
  <c r="D98" i="1"/>
  <c r="C98" i="1"/>
  <c r="G95" i="1"/>
  <c r="G98" i="1" s="1"/>
  <c r="L93" i="1"/>
  <c r="J93" i="1"/>
  <c r="H93" i="1"/>
  <c r="G93" i="1"/>
  <c r="F93" i="1"/>
  <c r="E93" i="1"/>
  <c r="D93" i="1"/>
  <c r="C93" i="1"/>
  <c r="L92" i="1"/>
  <c r="J92" i="1"/>
  <c r="H92" i="1"/>
  <c r="G92" i="1"/>
  <c r="F92" i="1"/>
  <c r="E92" i="1"/>
  <c r="D92" i="1"/>
  <c r="C92" i="1"/>
  <c r="K92" i="1"/>
  <c r="I86" i="1"/>
  <c r="I92" i="1" s="1"/>
  <c r="L83" i="1"/>
  <c r="J83" i="1"/>
  <c r="H83" i="1"/>
  <c r="F83" i="1"/>
  <c r="D83" i="1"/>
  <c r="G80" i="1"/>
  <c r="K78" i="1"/>
  <c r="K83" i="1" s="1"/>
  <c r="I78" i="1"/>
  <c r="I83" i="1" s="1"/>
  <c r="C78" i="1"/>
  <c r="C83" i="1" s="1"/>
  <c r="L76" i="1"/>
  <c r="K76" i="1"/>
  <c r="J76" i="1"/>
  <c r="I76" i="1"/>
  <c r="H76" i="1"/>
  <c r="G76" i="1"/>
  <c r="F76" i="1"/>
  <c r="E76" i="1"/>
  <c r="D76" i="1"/>
  <c r="C76" i="1"/>
  <c r="L70" i="1"/>
  <c r="K70" i="1"/>
  <c r="J70" i="1"/>
  <c r="H70" i="1"/>
  <c r="F70" i="1"/>
  <c r="E70" i="1"/>
  <c r="D70" i="1"/>
  <c r="C70" i="1"/>
  <c r="K63" i="1"/>
  <c r="G63" i="1"/>
  <c r="I63" i="1" s="1"/>
  <c r="I70" i="1" s="1"/>
  <c r="L61" i="1"/>
  <c r="L105" i="1" s="1"/>
  <c r="L106" i="1" s="1"/>
  <c r="L107" i="1" s="1"/>
  <c r="L108" i="1" s="1"/>
  <c r="J61" i="1"/>
  <c r="I61" i="1"/>
  <c r="H61" i="1"/>
  <c r="F61" i="1"/>
  <c r="F105" i="1" s="1"/>
  <c r="F106" i="1" s="1"/>
  <c r="F107" i="1" s="1"/>
  <c r="F108" i="1" s="1"/>
  <c r="E61" i="1"/>
  <c r="D61" i="1"/>
  <c r="C61" i="1"/>
  <c r="K55" i="1"/>
  <c r="H55" i="1"/>
  <c r="G55" i="1"/>
  <c r="K52" i="1"/>
  <c r="G52" i="1"/>
  <c r="G61" i="1" s="1"/>
  <c r="L43" i="1"/>
  <c r="K43" i="1"/>
  <c r="J43" i="1"/>
  <c r="I43" i="1"/>
  <c r="H43" i="1"/>
  <c r="G43" i="1"/>
  <c r="F43" i="1"/>
  <c r="E43" i="1"/>
  <c r="D43" i="1"/>
  <c r="C43" i="1"/>
  <c r="L38" i="1"/>
  <c r="L113" i="1" s="1"/>
  <c r="J38" i="1"/>
  <c r="J113" i="1" s="1"/>
  <c r="H38" i="1"/>
  <c r="H113" i="1" s="1"/>
  <c r="F38" i="1"/>
  <c r="F113" i="1" s="1"/>
  <c r="D38" i="1"/>
  <c r="D113" i="1" s="1"/>
  <c r="C38" i="1"/>
  <c r="C113" i="1" s="1"/>
  <c r="K33" i="1"/>
  <c r="I33" i="1"/>
  <c r="I38" i="1" s="1"/>
  <c r="I113" i="1" s="1"/>
  <c r="G32" i="1"/>
  <c r="K31" i="1"/>
  <c r="K38" i="1" s="1"/>
  <c r="K113" i="1" s="1"/>
  <c r="I31" i="1"/>
  <c r="G31" i="1"/>
  <c r="E31" i="1"/>
  <c r="E38" i="1" s="1"/>
  <c r="E113" i="1" s="1"/>
  <c r="L29" i="1"/>
  <c r="K29" i="1"/>
  <c r="J29" i="1"/>
  <c r="I29" i="1"/>
  <c r="H29" i="1"/>
  <c r="G29" i="1"/>
  <c r="F29" i="1"/>
  <c r="E29" i="1"/>
  <c r="D29" i="1"/>
  <c r="C29" i="1"/>
  <c r="L23" i="1"/>
  <c r="K23" i="1"/>
  <c r="J23" i="1"/>
  <c r="I23" i="1"/>
  <c r="H23" i="1"/>
  <c r="G23" i="1"/>
  <c r="F23" i="1"/>
  <c r="E23" i="1"/>
  <c r="D23" i="1"/>
  <c r="C23" i="1"/>
  <c r="L15" i="1"/>
  <c r="L44" i="1" s="1"/>
  <c r="K15" i="1"/>
  <c r="J15" i="1"/>
  <c r="I15" i="1"/>
  <c r="H15" i="1"/>
  <c r="F15" i="1"/>
  <c r="D15" i="1"/>
  <c r="D44" i="1" s="1"/>
  <c r="C15" i="1"/>
  <c r="G12" i="1"/>
  <c r="E6" i="1"/>
  <c r="E78" i="1" s="1"/>
  <c r="E83" i="1" s="1"/>
  <c r="K44" i="1" l="1"/>
  <c r="K45" i="1" s="1"/>
  <c r="G6" i="1"/>
  <c r="G78" i="1" s="1"/>
  <c r="G83" i="1" s="1"/>
  <c r="G38" i="1"/>
  <c r="G113" i="1" s="1"/>
  <c r="D105" i="1"/>
  <c r="D106" i="1" s="1"/>
  <c r="D107" i="1" s="1"/>
  <c r="D108" i="1" s="1"/>
  <c r="E105" i="1"/>
  <c r="E106" i="1" s="1"/>
  <c r="E107" i="1" s="1"/>
  <c r="E108" i="1" s="1"/>
  <c r="C44" i="1"/>
  <c r="C45" i="1" s="1"/>
  <c r="H105" i="1"/>
  <c r="H106" i="1" s="1"/>
  <c r="H107" i="1" s="1"/>
  <c r="H108" i="1" s="1"/>
  <c r="I105" i="1"/>
  <c r="I106" i="1" s="1"/>
  <c r="I107" i="1" s="1"/>
  <c r="I108" i="1" s="1"/>
  <c r="I93" i="1"/>
  <c r="E15" i="1"/>
  <c r="E44" i="1" s="1"/>
  <c r="E112" i="1" s="1"/>
  <c r="F44" i="1"/>
  <c r="F111" i="1" s="1"/>
  <c r="H44" i="1"/>
  <c r="H111" i="1" s="1"/>
  <c r="I44" i="1"/>
  <c r="I111" i="1" s="1"/>
  <c r="J105" i="1"/>
  <c r="J106" i="1" s="1"/>
  <c r="J107" i="1" s="1"/>
  <c r="J108" i="1" s="1"/>
  <c r="J44" i="1"/>
  <c r="D45" i="1"/>
  <c r="D112" i="1"/>
  <c r="D111" i="1"/>
  <c r="J111" i="1"/>
  <c r="J45" i="1"/>
  <c r="G105" i="1"/>
  <c r="G106" i="1" s="1"/>
  <c r="G107" i="1" s="1"/>
  <c r="G108" i="1" s="1"/>
  <c r="E111" i="1"/>
  <c r="E45" i="1"/>
  <c r="F112" i="1"/>
  <c r="K61" i="1"/>
  <c r="K105" i="1" s="1"/>
  <c r="K106" i="1" s="1"/>
  <c r="K107" i="1" s="1"/>
  <c r="K108" i="1" s="1"/>
  <c r="C105" i="1"/>
  <c r="C106" i="1" s="1"/>
  <c r="C107" i="1" s="1"/>
  <c r="C108" i="1" s="1"/>
  <c r="L45" i="1"/>
  <c r="L112" i="1"/>
  <c r="L111" i="1"/>
  <c r="G15" i="1"/>
  <c r="G44" i="1" s="1"/>
  <c r="K93" i="1"/>
  <c r="G70" i="1"/>
  <c r="H112" i="1" l="1"/>
  <c r="H45" i="1"/>
  <c r="H114" i="1" s="1"/>
  <c r="I112" i="1"/>
  <c r="I45" i="1"/>
  <c r="F45" i="1"/>
  <c r="J112" i="1"/>
  <c r="K112" i="1"/>
  <c r="C114" i="1"/>
  <c r="C46" i="1"/>
  <c r="C115" i="1" s="1"/>
  <c r="K114" i="1"/>
  <c r="K46" i="1"/>
  <c r="K115" i="1" s="1"/>
  <c r="H46" i="1"/>
  <c r="H115" i="1" s="1"/>
  <c r="G112" i="1"/>
  <c r="G111" i="1"/>
  <c r="G45" i="1"/>
  <c r="J46" i="1"/>
  <c r="J115" i="1" s="1"/>
  <c r="J114" i="1"/>
  <c r="C111" i="1"/>
  <c r="I46" i="1"/>
  <c r="I115" i="1" s="1"/>
  <c r="I114" i="1"/>
  <c r="F46" i="1"/>
  <c r="F115" i="1" s="1"/>
  <c r="F114" i="1"/>
  <c r="L114" i="1"/>
  <c r="L46" i="1"/>
  <c r="L115" i="1" s="1"/>
  <c r="E46" i="1"/>
  <c r="E115" i="1" s="1"/>
  <c r="E114" i="1"/>
  <c r="K111" i="1"/>
  <c r="C112" i="1"/>
  <c r="D114" i="1"/>
  <c r="D46" i="1"/>
  <c r="D115" i="1" s="1"/>
  <c r="G46" i="1" l="1"/>
  <c r="G115" i="1" s="1"/>
  <c r="D132" i="1" s="1"/>
  <c r="G114" i="1"/>
</calcChain>
</file>

<file path=xl/sharedStrings.xml><?xml version="1.0" encoding="utf-8"?>
<sst xmlns="http://schemas.openxmlformats.org/spreadsheetml/2006/main" count="117" uniqueCount="100">
  <si>
    <t>év</t>
  </si>
  <si>
    <t>tervezett</t>
  </si>
  <si>
    <t>tény</t>
  </si>
  <si>
    <t xml:space="preserve">tény </t>
  </si>
  <si>
    <t xml:space="preserve">Bevételek          Bevételek          Bevételek          Bevételek          Bevételek          Bevételek          Bevételek          Bevételek          Bevételek          </t>
  </si>
  <si>
    <t>(B) Bevételek</t>
  </si>
  <si>
    <t>(1) tagdíj- és nyilvántartási díj bevételek</t>
  </si>
  <si>
    <t>tagdíjbevételek</t>
  </si>
  <si>
    <t>technikusi névjegyzék  díj</t>
  </si>
  <si>
    <t>nyilvántartási díj bevételek</t>
  </si>
  <si>
    <t>részösszeg</t>
  </si>
  <si>
    <t>(2) eljárási díj bevételek</t>
  </si>
  <si>
    <t>tagsági jogosultsági kérelmek</t>
  </si>
  <si>
    <t>műszaki ellenőrök jogosultsági kérelmei</t>
  </si>
  <si>
    <t>felelős műszaki vezetők jogosultsági kérelmei</t>
  </si>
  <si>
    <t>Igazolások díja</t>
  </si>
  <si>
    <t>egyéb hivatali tevékenység</t>
  </si>
  <si>
    <t>(3) továbbképzési díj bevételek</t>
  </si>
  <si>
    <t>saját online továbbképzések</t>
  </si>
  <si>
    <t>saját offline továbbképzések</t>
  </si>
  <si>
    <t>egyéb továbbképzési bevételek</t>
  </si>
  <si>
    <t>(4) Nem szokványos működéshez kapcsolódó
bevételek</t>
  </si>
  <si>
    <t>pártoló tagsági díj</t>
  </si>
  <si>
    <t>vállalkozási díj</t>
  </si>
  <si>
    <t>ingatlan hasznosítási díjbevétel (padlás, irodák bérleti díja)</t>
  </si>
  <si>
    <t>pénzügyi műveletek bevétele</t>
  </si>
  <si>
    <t>pályázati bevétel</t>
  </si>
  <si>
    <t>(5) ideiglenes technikai bevételek</t>
  </si>
  <si>
    <t>visszafizetendő</t>
  </si>
  <si>
    <t>Kincstárjegy megszüntetése</t>
  </si>
  <si>
    <t>(6) Főtevékenységből származó bevétel (1+2+3)</t>
  </si>
  <si>
    <t>(7) Összes felhasználható bevétel (6+4)</t>
  </si>
  <si>
    <t>(8) Összes bevétel (7+5)</t>
  </si>
  <si>
    <t>Kiadások          Kiadások          Kiadások          Kiadások          Kiadások          Kiadások          Kiadások          Kiadások          Kiadások          Kiadások          Kiadások</t>
  </si>
  <si>
    <t>(K) Kiadások</t>
  </si>
  <si>
    <t>(1) személyi jellegű kiadások</t>
  </si>
  <si>
    <t>Munkabér</t>
  </si>
  <si>
    <t>Tiszteletdíjak</t>
  </si>
  <si>
    <t>Feladatvégzéshez kapcsolódó honoráriumok (kivéve továbbképzés)</t>
  </si>
  <si>
    <t>útiköltség</t>
  </si>
  <si>
    <t>közterhek</t>
  </si>
  <si>
    <t>(2) Működéssel kapcsolatos kiadások (kivéve továbbképzés és ingatlan)</t>
  </si>
  <si>
    <t>könyvelés</t>
  </si>
  <si>
    <t>irodaszer, posta, telefon, internet</t>
  </si>
  <si>
    <t>bankköltség</t>
  </si>
  <si>
    <t>helyiség bérleti díj (küldöttgyűlés)</t>
  </si>
  <si>
    <t>szakcsoporti díjkeret</t>
  </si>
  <si>
    <t>elnökségi működési költségek</t>
  </si>
  <si>
    <t>egyéb hivatali tevékenység költsége</t>
  </si>
  <si>
    <t>(3) továbbképzéshez kapcsolódó kiadások</t>
  </si>
  <si>
    <t>honoráriumok</t>
  </si>
  <si>
    <t>szolgáltatások igénybevétele</t>
  </si>
  <si>
    <t>MMK-nak befizetett díjak</t>
  </si>
  <si>
    <t>(4) egyéb rendszeres működési kiadások</t>
  </si>
  <si>
    <t>MMK-nak befizetés (kivéve továbbképzés)</t>
  </si>
  <si>
    <t>egyéb szolgáltatások (pl. informatika)</t>
  </si>
  <si>
    <t>nem nevesített egyéb</t>
  </si>
  <si>
    <t>(5) Ingatlan üzemeltetéshez kapcsolódó  kiadások</t>
  </si>
  <si>
    <t>közüzemi és közös költségek</t>
  </si>
  <si>
    <t>egyéb szolgáltatások (pl. takarítás)</t>
  </si>
  <si>
    <t>biztosítás</t>
  </si>
  <si>
    <t>fenntartási költségek</t>
  </si>
  <si>
    <t>(5.1) eszközbeszerzés, felújítás</t>
  </si>
  <si>
    <t>értékcsökkenési leírás</t>
  </si>
  <si>
    <t>részösszeg rendszeres kiadások (5.1 nélkül)</t>
  </si>
  <si>
    <t>részösszeg teljes (5.1-gyel)</t>
  </si>
  <si>
    <t>(6) Rendkívüli kiadások</t>
  </si>
  <si>
    <t>Vállalkozási bevételhez kapcsolódó kiadások</t>
  </si>
  <si>
    <t>(7) ideiglenes/technikai kiadások</t>
  </si>
  <si>
    <t>visszafizetés tagoknak</t>
  </si>
  <si>
    <t>Tartalékkeret</t>
  </si>
  <si>
    <t>időbeli elhatárolások</t>
  </si>
  <si>
    <t>(8) Főtevékenységhez kapcsolódó rendes kiadások (ingatlan nélkül) (1+2+3+4)</t>
  </si>
  <si>
    <t>(9) Főtevékenységhez kapcsolódó rendes kiadások ingatlan üzemeltetési költségekkel (8+5, 5.1 nélkül)</t>
  </si>
  <si>
    <t>(10) Összes rendes kiadás technikai kiadások nélkül (9+5.1+6)</t>
  </si>
  <si>
    <t>(11) Összes kiadás (10+7)</t>
  </si>
  <si>
    <t>(E) Egyenlegek</t>
  </si>
  <si>
    <t>(1) Főtevékenység egyenlege ingatlan nélkül (B6-K8)</t>
  </si>
  <si>
    <t>(2) Főtevékenység egyenlege ingatlannal (B6-K9)</t>
  </si>
  <si>
    <t>(3) Rendkívüli bevételek és kiadások egyenlege (B4-K6)</t>
  </si>
  <si>
    <t>(4) Összes reál bevétel és kiadás egyenlege (B7-K10)</t>
  </si>
  <si>
    <t>(5)Tárgyévi bevételek és kiadások egyenlege mindösszesen (B8-K11)</t>
  </si>
  <si>
    <r>
      <t>(Pny) Pénzügy</t>
    </r>
    <r>
      <rPr>
        <b/>
        <sz val="11"/>
        <rFont val="Arial"/>
        <family val="2"/>
        <charset val="238"/>
      </rPr>
      <t xml:space="preserve"> (tervezési időszak nyitó - tény)</t>
    </r>
  </si>
  <si>
    <t>(1) Házi pénztár</t>
  </si>
  <si>
    <t>(3) Állampapír</t>
  </si>
  <si>
    <t>(4) Összesen (Pny1+Pny2+Pny3)</t>
  </si>
  <si>
    <r>
      <t>(Pz) Pénzügy</t>
    </r>
    <r>
      <rPr>
        <b/>
        <sz val="11"/>
        <rFont val="Arial"/>
        <family val="2"/>
        <charset val="238"/>
      </rPr>
      <t xml:space="preserve"> (tervezési időszak záró - tervezet)</t>
    </r>
  </si>
  <si>
    <t>(1) Házi pénztár változás (előjelesen!)</t>
  </si>
  <si>
    <t>(2) Házi pénztár tervezett egyenlege (Pny1+Pz1)</t>
  </si>
  <si>
    <t>(3) Banki pénzkészlet változás (előjelesen!)</t>
  </si>
  <si>
    <t>(4) Banki pénzkészlet tervezett egyenlege (Pny2+Pz3)</t>
  </si>
  <si>
    <t>(5) Állampapír változás (előjelesen!)</t>
  </si>
  <si>
    <t>(6) Állampapír tervezett egyenlege (Pny3+Pz5)</t>
  </si>
  <si>
    <t>(7) Egyéb forrás bevonás (pl. hitel)</t>
  </si>
  <si>
    <t>(8) Pénzkészlet változás összesen (Pz1+Pz3+Pz5+Pz7)</t>
  </si>
  <si>
    <t>(9) Ellenőrzés (E5-(Pz8-Pz7)+Pz7) kötelezően 0!
(ha negatív, forráshiány!)</t>
  </si>
  <si>
    <t>téves bevétel/kiadás, ill. kp. felvétel</t>
  </si>
  <si>
    <t>téves bevétel/kiadás, ill. kp. felvét</t>
  </si>
  <si>
    <t>(2) Banki pénzkészlet (2025.12.31.)</t>
  </si>
  <si>
    <t>tervezet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</si>
</sst>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F_t_-;\-* #,##0\ _F_t_-;_-* &quot;-&quot;??\ _F_t_-;_-@_-"/>
    <numFmt numFmtId="165" formatCode="_-* #,##0.00000\ _F_t_-;\-* #,##0.00000\ _F_t_-;_-* &quot;-&quot;??\ _F_t_-;_-@_-"/>
  </numFmts>
  <fonts count="21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color rgb="FF0070C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2"/>
      <color theme="4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9" fontId="0" fillId="0" borderId="0" xfId="2" applyFont="1"/>
    <xf numFmtId="0" fontId="3" fillId="0" borderId="7" xfId="0" applyFont="1" applyBorder="1"/>
    <xf numFmtId="3" fontId="5" fillId="0" borderId="8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3" fillId="0" borderId="0" xfId="0" applyFont="1"/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3" fontId="5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9" fillId="0" borderId="17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3" fontId="10" fillId="0" borderId="25" xfId="0" applyNumberFormat="1" applyFont="1" applyBorder="1" applyAlignment="1">
      <alignment horizontal="right"/>
    </xf>
    <xf numFmtId="3" fontId="9" fillId="0" borderId="26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right"/>
    </xf>
    <xf numFmtId="3" fontId="9" fillId="0" borderId="29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3" fontId="9" fillId="0" borderId="31" xfId="0" applyNumberFormat="1" applyFont="1" applyBorder="1" applyAlignment="1">
      <alignment horizontal="right"/>
    </xf>
    <xf numFmtId="3" fontId="10" fillId="0" borderId="32" xfId="0" applyNumberFormat="1" applyFont="1" applyBorder="1" applyAlignment="1">
      <alignment horizontal="right"/>
    </xf>
    <xf numFmtId="0" fontId="8" fillId="0" borderId="33" xfId="0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3" fontId="9" fillId="0" borderId="36" xfId="0" applyNumberFormat="1" applyFont="1" applyBorder="1" applyAlignment="1">
      <alignment horizontal="right"/>
    </xf>
    <xf numFmtId="3" fontId="10" fillId="0" borderId="37" xfId="0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3" fontId="5" fillId="0" borderId="39" xfId="0" applyNumberFormat="1" applyFont="1" applyBorder="1" applyAlignment="1">
      <alignment horizontal="right"/>
    </xf>
    <xf numFmtId="3" fontId="6" fillId="0" borderId="40" xfId="0" applyNumberFormat="1" applyFont="1" applyBorder="1" applyAlignment="1">
      <alignment horizontal="right"/>
    </xf>
    <xf numFmtId="3" fontId="5" fillId="0" borderId="41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3" fontId="9" fillId="0" borderId="46" xfId="0" applyNumberFormat="1" applyFont="1" applyBorder="1" applyAlignment="1">
      <alignment horizontal="right"/>
    </xf>
    <xf numFmtId="3" fontId="10" fillId="0" borderId="47" xfId="0" applyNumberFormat="1" applyFont="1" applyBorder="1" applyAlignment="1">
      <alignment horizontal="right"/>
    </xf>
    <xf numFmtId="3" fontId="10" fillId="0" borderId="48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49" xfId="0" applyFont="1" applyBorder="1" applyAlignment="1">
      <alignment horizontal="right"/>
    </xf>
    <xf numFmtId="3" fontId="9" fillId="0" borderId="50" xfId="0" applyNumberFormat="1" applyFont="1" applyBorder="1" applyAlignment="1">
      <alignment horizontal="right"/>
    </xf>
    <xf numFmtId="3" fontId="10" fillId="0" borderId="51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4" fillId="0" borderId="0" xfId="0" applyFont="1"/>
    <xf numFmtId="0" fontId="3" fillId="0" borderId="52" xfId="0" applyFont="1" applyBorder="1" applyAlignment="1">
      <alignment horizontal="right"/>
    </xf>
    <xf numFmtId="0" fontId="3" fillId="0" borderId="53" xfId="0" applyFont="1" applyBorder="1" applyAlignment="1">
      <alignment horizontal="left" wrapText="1"/>
    </xf>
    <xf numFmtId="3" fontId="5" fillId="0" borderId="24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3" fillId="0" borderId="45" xfId="0" applyFont="1" applyBorder="1" applyAlignment="1">
      <alignment horizontal="left" wrapText="1"/>
    </xf>
    <xf numFmtId="3" fontId="5" fillId="0" borderId="50" xfId="0" applyNumberFormat="1" applyFont="1" applyBorder="1" applyAlignment="1">
      <alignment horizontal="right"/>
    </xf>
    <xf numFmtId="3" fontId="6" fillId="0" borderId="47" xfId="0" applyNumberFormat="1" applyFont="1" applyBorder="1" applyAlignment="1">
      <alignment horizontal="right"/>
    </xf>
    <xf numFmtId="3" fontId="5" fillId="0" borderId="46" xfId="0" applyNumberFormat="1" applyFont="1" applyBorder="1" applyAlignment="1">
      <alignment horizontal="right"/>
    </xf>
    <xf numFmtId="3" fontId="6" fillId="0" borderId="51" xfId="0" applyNumberFormat="1" applyFont="1" applyBorder="1" applyAlignment="1">
      <alignment horizontal="right"/>
    </xf>
    <xf numFmtId="0" fontId="3" fillId="0" borderId="54" xfId="0" applyFont="1" applyBorder="1" applyAlignment="1">
      <alignment horizontal="left"/>
    </xf>
    <xf numFmtId="3" fontId="5" fillId="0" borderId="55" xfId="0" applyNumberFormat="1" applyFont="1" applyBorder="1" applyAlignment="1">
      <alignment horizontal="right"/>
    </xf>
    <xf numFmtId="3" fontId="6" fillId="0" borderId="56" xfId="0" applyNumberFormat="1" applyFont="1" applyBorder="1" applyAlignment="1">
      <alignment horizontal="right"/>
    </xf>
    <xf numFmtId="3" fontId="5" fillId="0" borderId="57" xfId="0" applyNumberFormat="1" applyFon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15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0" fontId="7" fillId="0" borderId="13" xfId="0" applyFont="1" applyBorder="1"/>
    <xf numFmtId="0" fontId="0" fillId="0" borderId="14" xfId="0" applyBorder="1"/>
    <xf numFmtId="0" fontId="0" fillId="0" borderId="59" xfId="0" applyBorder="1"/>
    <xf numFmtId="0" fontId="0" fillId="0" borderId="0" xfId="0" applyAlignment="1">
      <alignment horizontal="center" vertical="center"/>
    </xf>
    <xf numFmtId="0" fontId="0" fillId="0" borderId="61" xfId="0" applyBorder="1"/>
    <xf numFmtId="0" fontId="0" fillId="0" borderId="62" xfId="0" applyBorder="1"/>
    <xf numFmtId="164" fontId="0" fillId="0" borderId="0" xfId="1" applyNumberFormat="1" applyFont="1"/>
    <xf numFmtId="165" fontId="0" fillId="0" borderId="0" xfId="1" applyNumberFormat="1" applyFont="1"/>
    <xf numFmtId="3" fontId="9" fillId="2" borderId="36" xfId="0" applyNumberFormat="1" applyFont="1" applyFill="1" applyBorder="1" applyAlignment="1">
      <alignment horizontal="right"/>
    </xf>
    <xf numFmtId="0" fontId="3" fillId="0" borderId="63" xfId="0" applyFont="1" applyBorder="1" applyAlignment="1">
      <alignment horizontal="right"/>
    </xf>
    <xf numFmtId="3" fontId="5" fillId="0" borderId="64" xfId="0" applyNumberFormat="1" applyFont="1" applyBorder="1" applyAlignment="1">
      <alignment horizontal="right"/>
    </xf>
    <xf numFmtId="3" fontId="6" fillId="0" borderId="65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3" fontId="6" fillId="0" borderId="66" xfId="0" applyNumberFormat="1" applyFont="1" applyBorder="1" applyAlignment="1">
      <alignment horizontal="right"/>
    </xf>
    <xf numFmtId="3" fontId="5" fillId="0" borderId="67" xfId="0" applyNumberFormat="1" applyFont="1" applyBorder="1" applyAlignment="1">
      <alignment horizontal="right"/>
    </xf>
    <xf numFmtId="0" fontId="8" fillId="0" borderId="52" xfId="0" applyFont="1" applyBorder="1" applyAlignment="1">
      <alignment horizontal="right"/>
    </xf>
    <xf numFmtId="0" fontId="3" fillId="0" borderId="68" xfId="0" applyFont="1" applyBorder="1" applyAlignment="1">
      <alignment horizontal="right"/>
    </xf>
    <xf numFmtId="0" fontId="3" fillId="0" borderId="69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70" xfId="0" applyFont="1" applyBorder="1" applyAlignment="1">
      <alignment horizontal="left"/>
    </xf>
    <xf numFmtId="3" fontId="5" fillId="0" borderId="8" xfId="0" applyNumberFormat="1" applyFont="1" applyBorder="1" applyAlignment="1">
      <alignment horizontal="right"/>
    </xf>
    <xf numFmtId="0" fontId="3" fillId="0" borderId="71" xfId="0" applyFont="1" applyBorder="1" applyAlignment="1">
      <alignment wrapText="1"/>
    </xf>
    <xf numFmtId="3" fontId="9" fillId="0" borderId="72" xfId="0" applyNumberFormat="1" applyFont="1" applyBorder="1" applyAlignment="1">
      <alignment horizontal="right"/>
    </xf>
    <xf numFmtId="3" fontId="10" fillId="0" borderId="72" xfId="0" applyNumberFormat="1" applyFont="1" applyBorder="1" applyAlignment="1">
      <alignment horizontal="right"/>
    </xf>
    <xf numFmtId="3" fontId="10" fillId="0" borderId="66" xfId="0" applyNumberFormat="1" applyFont="1" applyBorder="1" applyAlignment="1">
      <alignment horizontal="right"/>
    </xf>
    <xf numFmtId="0" fontId="3" fillId="0" borderId="45" xfId="0" applyFont="1" applyBorder="1" applyAlignment="1">
      <alignment vertical="center" wrapText="1"/>
    </xf>
    <xf numFmtId="3" fontId="9" fillId="0" borderId="73" xfId="0" applyNumberFormat="1" applyFont="1" applyBorder="1" applyAlignment="1">
      <alignment horizontal="right"/>
    </xf>
    <xf numFmtId="3" fontId="10" fillId="0" borderId="73" xfId="0" applyNumberFormat="1" applyFont="1" applyBorder="1" applyAlignment="1">
      <alignment horizontal="right"/>
    </xf>
    <xf numFmtId="0" fontId="11" fillId="0" borderId="0" xfId="0" applyFont="1"/>
    <xf numFmtId="0" fontId="11" fillId="0" borderId="70" xfId="0" applyFont="1" applyBorder="1" applyAlignment="1">
      <alignment vertical="center" wrapText="1"/>
    </xf>
    <xf numFmtId="3" fontId="12" fillId="0" borderId="74" xfId="0" applyNumberFormat="1" applyFont="1" applyBorder="1" applyAlignment="1">
      <alignment horizontal="right"/>
    </xf>
    <xf numFmtId="3" fontId="13" fillId="0" borderId="74" xfId="0" applyNumberFormat="1" applyFont="1" applyBorder="1" applyAlignment="1">
      <alignment horizontal="right"/>
    </xf>
    <xf numFmtId="3" fontId="13" fillId="0" borderId="75" xfId="0" applyNumberFormat="1" applyFont="1" applyBorder="1" applyAlignment="1">
      <alignment horizontal="right"/>
    </xf>
    <xf numFmtId="3" fontId="9" fillId="0" borderId="76" xfId="0" applyNumberFormat="1" applyFont="1" applyBorder="1" applyAlignment="1">
      <alignment horizontal="right"/>
    </xf>
    <xf numFmtId="3" fontId="10" fillId="0" borderId="76" xfId="0" applyNumberFormat="1" applyFont="1" applyBorder="1" applyAlignment="1">
      <alignment horizontal="right"/>
    </xf>
    <xf numFmtId="0" fontId="0" fillId="0" borderId="16" xfId="0" applyBorder="1"/>
    <xf numFmtId="0" fontId="0" fillId="0" borderId="78" xfId="0" applyBorder="1"/>
    <xf numFmtId="0" fontId="3" fillId="0" borderId="79" xfId="0" applyFont="1" applyBorder="1" applyAlignment="1">
      <alignment wrapText="1"/>
    </xf>
    <xf numFmtId="0" fontId="3" fillId="0" borderId="46" xfId="0" applyFont="1" applyBorder="1" applyAlignment="1">
      <alignment wrapText="1"/>
    </xf>
    <xf numFmtId="3" fontId="15" fillId="0" borderId="51" xfId="0" applyNumberFormat="1" applyFont="1" applyBorder="1"/>
    <xf numFmtId="0" fontId="3" fillId="0" borderId="45" xfId="0" applyFont="1" applyBorder="1" applyAlignment="1">
      <alignment wrapText="1"/>
    </xf>
    <xf numFmtId="0" fontId="11" fillId="0" borderId="70" xfId="0" applyFont="1" applyBorder="1" applyAlignment="1">
      <alignment wrapText="1"/>
    </xf>
    <xf numFmtId="3" fontId="13" fillId="0" borderId="80" xfId="0" applyNumberFormat="1" applyFont="1" applyBorder="1" applyAlignment="1">
      <alignment horizontal="right"/>
    </xf>
    <xf numFmtId="3" fontId="16" fillId="0" borderId="75" xfId="0" applyNumberFormat="1" applyFont="1" applyBorder="1"/>
    <xf numFmtId="3" fontId="17" fillId="0" borderId="66" xfId="0" applyNumberFormat="1" applyFont="1" applyBorder="1" applyAlignment="1">
      <alignment horizontal="right"/>
    </xf>
    <xf numFmtId="3" fontId="17" fillId="0" borderId="51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0" fontId="3" fillId="0" borderId="52" xfId="0" applyFont="1" applyBorder="1" applyAlignment="1">
      <alignment wrapText="1"/>
    </xf>
    <xf numFmtId="3" fontId="9" fillId="3" borderId="81" xfId="0" applyNumberFormat="1" applyFont="1" applyFill="1" applyBorder="1" applyAlignment="1">
      <alignment horizontal="right"/>
    </xf>
    <xf numFmtId="3" fontId="18" fillId="3" borderId="32" xfId="0" applyNumberFormat="1" applyFont="1" applyFill="1" applyBorder="1" applyAlignment="1">
      <alignment horizontal="right"/>
    </xf>
    <xf numFmtId="3" fontId="19" fillId="0" borderId="75" xfId="0" applyNumberFormat="1" applyFont="1" applyBorder="1" applyAlignment="1">
      <alignment horizontal="right"/>
    </xf>
    <xf numFmtId="0" fontId="20" fillId="0" borderId="0" xfId="0" applyFont="1" applyAlignment="1">
      <alignment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8" fillId="0" borderId="28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/>
    </xf>
    <xf numFmtId="0" fontId="3" fillId="0" borderId="4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77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90"/>
    </xf>
    <xf numFmtId="3" fontId="9" fillId="0" borderId="14" xfId="0" applyNumberFormat="1" applyFont="1" applyBorder="1" applyAlignment="1">
      <alignment horizontal="center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8" fillId="0" borderId="23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 textRotation="90"/>
    </xf>
  </cellXfs>
  <cellStyles count="3">
    <cellStyle name="Ezres" xfId="1" builtinId="3"/>
    <cellStyle name="Normál" xfId="0" builtinId="0"/>
    <cellStyle name="Százalék" xfId="2" builtinId="5"/>
  </cellStyles>
  <dxfs count="4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5444E-6F3A-7547-8057-747AD827AA3E}">
  <dimension ref="A1:S132"/>
  <sheetViews>
    <sheetView tabSelected="1" topLeftCell="A35" workbookViewId="0">
      <selection activeCell="N1" sqref="N1:N1048576"/>
    </sheetView>
  </sheetViews>
  <sheetFormatPr defaultColWidth="8.875" defaultRowHeight="15.75" x14ac:dyDescent="0.25"/>
  <cols>
    <col min="1" max="1" width="9.125" style="1" customWidth="1"/>
    <col min="2" max="2" width="48.625" style="8" customWidth="1"/>
    <col min="3" max="3" width="12.125" style="68" hidden="1" customWidth="1"/>
    <col min="4" max="4" width="13.625" style="69" hidden="1" customWidth="1"/>
    <col min="5" max="5" width="11.5" style="68" hidden="1" customWidth="1"/>
    <col min="6" max="6" width="12.625" style="69" hidden="1" customWidth="1"/>
    <col min="7" max="7" width="13.625" style="68" bestFit="1" customWidth="1"/>
    <col min="8" max="8" width="22.625" style="69" customWidth="1"/>
    <col min="9" max="9" width="13.5" style="69" bestFit="1" customWidth="1"/>
    <col min="10" max="10" width="13" style="69" customWidth="1"/>
    <col min="11" max="11" width="11.625" bestFit="1" customWidth="1"/>
    <col min="12" max="14" width="13.875" bestFit="1" customWidth="1"/>
    <col min="16" max="16" width="11.5" bestFit="1" customWidth="1"/>
    <col min="18" max="18" width="11" bestFit="1" customWidth="1"/>
  </cols>
  <sheetData>
    <row r="1" spans="1:13" x14ac:dyDescent="0.25">
      <c r="B1" s="2" t="s">
        <v>0</v>
      </c>
      <c r="C1" s="144">
        <v>2022</v>
      </c>
      <c r="D1" s="145"/>
      <c r="E1" s="146">
        <v>2023</v>
      </c>
      <c r="F1" s="147"/>
      <c r="G1" s="148">
        <v>2024</v>
      </c>
      <c r="H1" s="145"/>
      <c r="I1" s="148">
        <v>2025</v>
      </c>
      <c r="J1" s="145"/>
      <c r="K1" s="148">
        <v>2026</v>
      </c>
      <c r="L1" s="145"/>
      <c r="M1" s="3"/>
    </row>
    <row r="2" spans="1:13" ht="16.5" thickBot="1" x14ac:dyDescent="0.3">
      <c r="B2" s="4"/>
      <c r="C2" s="5" t="s">
        <v>1</v>
      </c>
      <c r="D2" s="6" t="s">
        <v>2</v>
      </c>
      <c r="E2" s="7" t="s">
        <v>1</v>
      </c>
      <c r="F2" s="6" t="s">
        <v>2</v>
      </c>
      <c r="G2" s="7" t="s">
        <v>99</v>
      </c>
      <c r="H2" s="6" t="s">
        <v>3</v>
      </c>
      <c r="I2" s="7" t="s">
        <v>99</v>
      </c>
      <c r="J2" s="6" t="s">
        <v>2</v>
      </c>
      <c r="K2" s="7" t="s">
        <v>99</v>
      </c>
      <c r="L2" s="6"/>
      <c r="M2" s="3"/>
    </row>
    <row r="3" spans="1:13" ht="10.5" customHeight="1" thickTop="1" thickBot="1" x14ac:dyDescent="0.3">
      <c r="C3" s="9"/>
      <c r="D3" s="10"/>
      <c r="E3" s="11"/>
      <c r="F3" s="12"/>
      <c r="G3" s="11"/>
      <c r="H3" s="12"/>
      <c r="I3" s="11"/>
      <c r="J3" s="12"/>
      <c r="K3" s="11"/>
      <c r="L3" s="12"/>
    </row>
    <row r="4" spans="1:13" ht="21.75" thickTop="1" thickBot="1" x14ac:dyDescent="0.35">
      <c r="A4" s="149" t="s">
        <v>4</v>
      </c>
      <c r="B4" s="134" t="s">
        <v>5</v>
      </c>
      <c r="C4" s="135"/>
      <c r="D4" s="135"/>
      <c r="E4" s="13"/>
      <c r="F4" s="13"/>
      <c r="G4" s="13"/>
      <c r="H4" s="13"/>
      <c r="I4" s="13"/>
      <c r="J4" s="13"/>
      <c r="K4" s="13"/>
      <c r="L4" s="13"/>
    </row>
    <row r="5" spans="1:13" s="19" customFormat="1" ht="17.25" customHeight="1" thickTop="1" x14ac:dyDescent="0.2">
      <c r="A5" s="149"/>
      <c r="B5" s="14" t="s">
        <v>6</v>
      </c>
      <c r="C5" s="15"/>
      <c r="D5" s="16"/>
      <c r="E5" s="17"/>
      <c r="F5" s="18"/>
      <c r="G5" s="17"/>
      <c r="H5" s="18"/>
      <c r="I5" s="17"/>
      <c r="J5" s="18"/>
      <c r="K5" s="17"/>
      <c r="L5" s="18"/>
    </row>
    <row r="6" spans="1:13" x14ac:dyDescent="0.25">
      <c r="A6" s="149"/>
      <c r="B6" s="129" t="s">
        <v>7</v>
      </c>
      <c r="C6" s="20">
        <v>26500000</v>
      </c>
      <c r="D6" s="21"/>
      <c r="E6" s="22">
        <f>C6/45000*65000</f>
        <v>38277777.777777776</v>
      </c>
      <c r="F6" s="23"/>
      <c r="G6" s="22">
        <f>E6/65000*70000</f>
        <v>41222222.222222224</v>
      </c>
      <c r="H6" s="23"/>
      <c r="I6" s="22">
        <v>73000000</v>
      </c>
      <c r="J6" s="23">
        <v>76279500</v>
      </c>
      <c r="K6" s="22">
        <v>77500000</v>
      </c>
      <c r="L6" s="23"/>
    </row>
    <row r="7" spans="1:13" x14ac:dyDescent="0.25">
      <c r="A7" s="149"/>
      <c r="B7" s="142"/>
      <c r="C7" s="24"/>
      <c r="D7" s="25">
        <v>28766125</v>
      </c>
      <c r="E7" s="26"/>
      <c r="F7" s="27">
        <v>38443500</v>
      </c>
      <c r="G7" s="26"/>
      <c r="H7" s="27">
        <v>42661500</v>
      </c>
      <c r="I7" s="26"/>
      <c r="J7" s="27"/>
      <c r="K7" s="26"/>
      <c r="L7" s="27"/>
    </row>
    <row r="8" spans="1:13" x14ac:dyDescent="0.25">
      <c r="A8" s="149"/>
      <c r="B8" s="143"/>
      <c r="C8" s="28"/>
      <c r="D8" s="29"/>
      <c r="E8" s="30"/>
      <c r="F8" s="31"/>
      <c r="G8" s="30"/>
      <c r="H8" s="31"/>
      <c r="I8" s="30"/>
      <c r="J8" s="31"/>
      <c r="K8" s="30"/>
      <c r="L8" s="31"/>
    </row>
    <row r="9" spans="1:13" x14ac:dyDescent="0.25">
      <c r="A9" s="149"/>
      <c r="B9" s="142"/>
      <c r="C9" s="24"/>
      <c r="D9" s="25"/>
      <c r="E9" s="26"/>
      <c r="F9" s="27"/>
      <c r="G9" s="26"/>
      <c r="H9" s="27"/>
      <c r="I9" s="26"/>
      <c r="J9" s="27"/>
      <c r="K9" s="26"/>
      <c r="L9" s="27"/>
    </row>
    <row r="10" spans="1:13" x14ac:dyDescent="0.25">
      <c r="A10" s="149"/>
      <c r="B10" s="143" t="s">
        <v>8</v>
      </c>
      <c r="C10" s="28">
        <v>50000</v>
      </c>
      <c r="D10" s="29"/>
      <c r="E10" s="30">
        <v>50000</v>
      </c>
      <c r="F10" s="31"/>
      <c r="G10" s="30">
        <v>50000</v>
      </c>
      <c r="H10" s="31"/>
      <c r="I10" s="30">
        <v>50000</v>
      </c>
      <c r="J10" s="31">
        <v>65000</v>
      </c>
      <c r="K10" s="30">
        <v>50000</v>
      </c>
      <c r="L10" s="31"/>
    </row>
    <row r="11" spans="1:13" x14ac:dyDescent="0.25">
      <c r="A11" s="149"/>
      <c r="B11" s="142"/>
      <c r="C11" s="24"/>
      <c r="D11" s="25">
        <v>127500</v>
      </c>
      <c r="E11" s="26"/>
      <c r="F11" s="27">
        <v>104000</v>
      </c>
      <c r="G11" s="26"/>
      <c r="H11" s="27">
        <v>112000</v>
      </c>
      <c r="I11" s="26">
        <v>0</v>
      </c>
      <c r="J11" s="27"/>
      <c r="K11" s="26">
        <v>0</v>
      </c>
      <c r="L11" s="27"/>
    </row>
    <row r="12" spans="1:13" x14ac:dyDescent="0.25">
      <c r="A12" s="149"/>
      <c r="B12" s="129" t="s">
        <v>9</v>
      </c>
      <c r="C12" s="20">
        <v>20000000</v>
      </c>
      <c r="D12" s="21"/>
      <c r="E12" s="22">
        <v>23000000</v>
      </c>
      <c r="F12" s="23"/>
      <c r="G12" s="22">
        <f>E12*56/52</f>
        <v>24769230.769230768</v>
      </c>
      <c r="H12" s="23"/>
      <c r="I12" s="22">
        <v>9000000</v>
      </c>
      <c r="J12" s="23">
        <v>11184000</v>
      </c>
      <c r="K12" s="22">
        <v>9500000</v>
      </c>
      <c r="L12" s="23"/>
    </row>
    <row r="13" spans="1:13" x14ac:dyDescent="0.25">
      <c r="A13" s="149"/>
      <c r="B13" s="129"/>
      <c r="C13" s="20"/>
      <c r="D13" s="21">
        <v>20266750</v>
      </c>
      <c r="E13" s="22"/>
      <c r="F13" s="23">
        <v>26470500</v>
      </c>
      <c r="G13" s="22"/>
      <c r="H13" s="23">
        <v>28084000</v>
      </c>
      <c r="I13" s="22"/>
      <c r="J13" s="23"/>
      <c r="K13" s="22"/>
      <c r="L13" s="23"/>
    </row>
    <row r="14" spans="1:13" ht="4.5" customHeight="1" thickBot="1" x14ac:dyDescent="0.3">
      <c r="A14" s="149"/>
      <c r="B14" s="32"/>
      <c r="C14" s="33"/>
      <c r="D14" s="34"/>
      <c r="E14" s="35"/>
      <c r="F14" s="36"/>
      <c r="G14" s="35"/>
      <c r="H14" s="36"/>
      <c r="I14" s="35"/>
      <c r="J14" s="36"/>
      <c r="K14" s="35"/>
      <c r="L14" s="36"/>
    </row>
    <row r="15" spans="1:13" s="8" customFormat="1" ht="14.25" thickTop="1" thickBot="1" x14ac:dyDescent="0.25">
      <c r="A15" s="149"/>
      <c r="B15" s="37" t="s">
        <v>10</v>
      </c>
      <c r="C15" s="38">
        <f t="shared" ref="C15:H15" si="0">SUM(C6:C14)</f>
        <v>46550000</v>
      </c>
      <c r="D15" s="39">
        <f t="shared" si="0"/>
        <v>49160375</v>
      </c>
      <c r="E15" s="40">
        <f t="shared" si="0"/>
        <v>61327777.777777776</v>
      </c>
      <c r="F15" s="41">
        <f>SUM(F6:F14)</f>
        <v>65018000</v>
      </c>
      <c r="G15" s="40">
        <f t="shared" si="0"/>
        <v>66041452.991452992</v>
      </c>
      <c r="H15" s="41">
        <f t="shared" si="0"/>
        <v>70857500</v>
      </c>
      <c r="I15" s="40">
        <f>SUM(I6:I14)</f>
        <v>82050000</v>
      </c>
      <c r="J15" s="41">
        <f>SUM(J6:J14)</f>
        <v>87528500</v>
      </c>
      <c r="K15" s="40">
        <f>SUM(K6:K14)</f>
        <v>87050000</v>
      </c>
      <c r="L15" s="41">
        <f>SUM(L6:L14)</f>
        <v>0</v>
      </c>
    </row>
    <row r="16" spans="1:13" ht="22.5" customHeight="1" x14ac:dyDescent="0.25">
      <c r="A16" s="149"/>
      <c r="B16" s="132" t="s">
        <v>11</v>
      </c>
      <c r="C16" s="133"/>
      <c r="D16" s="133"/>
      <c r="E16"/>
      <c r="F16"/>
      <c r="G16"/>
      <c r="H16"/>
      <c r="I16"/>
      <c r="J16"/>
    </row>
    <row r="17" spans="1:14" ht="13.5" customHeight="1" x14ac:dyDescent="0.25">
      <c r="A17" s="149"/>
      <c r="B17" s="42" t="s">
        <v>12</v>
      </c>
      <c r="C17" s="43">
        <v>500000</v>
      </c>
      <c r="D17" s="44">
        <v>345000</v>
      </c>
      <c r="E17" s="43">
        <v>500000</v>
      </c>
      <c r="F17" s="45">
        <v>557000</v>
      </c>
      <c r="G17" s="43">
        <v>500000</v>
      </c>
      <c r="H17" s="45">
        <v>643000</v>
      </c>
      <c r="I17" s="43">
        <v>500000</v>
      </c>
      <c r="J17" s="45">
        <v>797000</v>
      </c>
      <c r="K17" s="43">
        <v>500000</v>
      </c>
      <c r="L17" s="45"/>
    </row>
    <row r="18" spans="1:14" ht="13.5" customHeight="1" x14ac:dyDescent="0.25">
      <c r="A18" s="149"/>
      <c r="B18" s="42" t="s">
        <v>13</v>
      </c>
      <c r="C18" s="43">
        <v>1500000</v>
      </c>
      <c r="D18" s="44">
        <v>760000</v>
      </c>
      <c r="E18" s="43">
        <v>1500000</v>
      </c>
      <c r="F18" s="45">
        <v>380000</v>
      </c>
      <c r="G18" s="43">
        <v>500000</v>
      </c>
      <c r="H18" s="45">
        <v>390000</v>
      </c>
      <c r="I18" s="43">
        <v>500000</v>
      </c>
      <c r="J18" s="45">
        <v>728000</v>
      </c>
      <c r="K18" s="43">
        <v>500000</v>
      </c>
      <c r="L18" s="45"/>
    </row>
    <row r="19" spans="1:14" x14ac:dyDescent="0.25">
      <c r="A19" s="149"/>
      <c r="B19" s="42" t="s">
        <v>14</v>
      </c>
      <c r="C19" s="43"/>
      <c r="D19" s="44"/>
      <c r="E19" s="43"/>
      <c r="F19" s="45"/>
      <c r="G19" s="43"/>
      <c r="H19" s="45"/>
      <c r="I19" s="43"/>
      <c r="J19" s="45"/>
      <c r="K19" s="43"/>
      <c r="L19" s="45"/>
    </row>
    <row r="20" spans="1:14" x14ac:dyDescent="0.25">
      <c r="A20" s="149"/>
      <c r="B20" s="42" t="s">
        <v>15</v>
      </c>
      <c r="C20" s="43"/>
      <c r="D20" s="44">
        <v>35000</v>
      </c>
      <c r="E20" s="43"/>
      <c r="F20" s="45">
        <v>95000</v>
      </c>
      <c r="G20" s="43"/>
      <c r="H20" s="45">
        <v>75000</v>
      </c>
      <c r="I20" s="43"/>
      <c r="J20" s="45">
        <v>84500</v>
      </c>
      <c r="K20" s="43"/>
      <c r="L20" s="45"/>
    </row>
    <row r="21" spans="1:14" ht="4.5" customHeight="1" x14ac:dyDescent="0.25">
      <c r="A21" s="149"/>
      <c r="B21" s="46"/>
      <c r="C21" s="20"/>
      <c r="D21" s="21"/>
      <c r="E21" s="22"/>
      <c r="F21" s="23"/>
      <c r="G21" s="22"/>
      <c r="H21" s="23"/>
      <c r="I21" s="22"/>
      <c r="J21" s="23"/>
      <c r="K21" s="22"/>
      <c r="L21" s="23"/>
    </row>
    <row r="22" spans="1:14" ht="16.5" thickBot="1" x14ac:dyDescent="0.3">
      <c r="A22" s="149"/>
      <c r="B22" s="47" t="s">
        <v>16</v>
      </c>
      <c r="C22" s="33"/>
      <c r="D22" s="34"/>
      <c r="E22" s="35"/>
      <c r="F22" s="36"/>
      <c r="G22" s="35"/>
      <c r="H22" s="36"/>
      <c r="I22" s="35"/>
      <c r="J22" s="36"/>
      <c r="K22" s="35"/>
      <c r="L22" s="36"/>
    </row>
    <row r="23" spans="1:14" ht="14.25" customHeight="1" thickTop="1" thickBot="1" x14ac:dyDescent="0.3">
      <c r="A23" s="149"/>
      <c r="B23" s="37" t="s">
        <v>10</v>
      </c>
      <c r="C23" s="38">
        <f t="shared" ref="C23:H23" si="1">SUM(C17:C22)</f>
        <v>2000000</v>
      </c>
      <c r="D23" s="39">
        <f t="shared" si="1"/>
        <v>1140000</v>
      </c>
      <c r="E23" s="40">
        <f t="shared" si="1"/>
        <v>2000000</v>
      </c>
      <c r="F23" s="41">
        <f>SUM(F17:F22)</f>
        <v>1032000</v>
      </c>
      <c r="G23" s="40">
        <f t="shared" si="1"/>
        <v>1000000</v>
      </c>
      <c r="H23" s="41">
        <f t="shared" si="1"/>
        <v>1108000</v>
      </c>
      <c r="I23" s="40">
        <f>SUM(I17:I22)</f>
        <v>1000000</v>
      </c>
      <c r="J23" s="41">
        <f>SUM(J17:J22)</f>
        <v>1609500</v>
      </c>
      <c r="K23" s="40">
        <f>SUM(K17:K22)</f>
        <v>1000000</v>
      </c>
      <c r="L23" s="41">
        <f>SUM(L17:L22)</f>
        <v>0</v>
      </c>
    </row>
    <row r="24" spans="1:14" ht="23.25" customHeight="1" x14ac:dyDescent="0.25">
      <c r="A24" s="149"/>
      <c r="B24" s="132" t="s">
        <v>17</v>
      </c>
      <c r="C24" s="133"/>
      <c r="D24" s="133"/>
      <c r="E24"/>
      <c r="F24"/>
      <c r="G24"/>
      <c r="H24"/>
      <c r="I24"/>
      <c r="J24"/>
    </row>
    <row r="25" spans="1:14" ht="33.75" customHeight="1" x14ac:dyDescent="0.25">
      <c r="A25" s="149"/>
      <c r="B25" s="42" t="s">
        <v>18</v>
      </c>
      <c r="C25" s="48"/>
      <c r="D25" s="44"/>
      <c r="E25" s="43">
        <v>3600000</v>
      </c>
      <c r="F25" s="49">
        <v>2508000</v>
      </c>
      <c r="G25" s="43">
        <v>3600000</v>
      </c>
      <c r="H25" s="49">
        <v>3096000</v>
      </c>
      <c r="I25" s="43">
        <v>3600000</v>
      </c>
      <c r="J25" s="49">
        <v>1440000</v>
      </c>
      <c r="K25" s="43">
        <v>3600000</v>
      </c>
      <c r="L25" s="49">
        <v>0</v>
      </c>
    </row>
    <row r="26" spans="1:14" ht="33.75" customHeight="1" x14ac:dyDescent="0.25">
      <c r="A26" s="149"/>
      <c r="B26" s="42" t="s">
        <v>19</v>
      </c>
      <c r="C26" s="48">
        <v>5500000</v>
      </c>
      <c r="D26" s="44">
        <v>5973000</v>
      </c>
      <c r="E26" s="43">
        <v>3600000</v>
      </c>
      <c r="F26" s="49">
        <v>4936000</v>
      </c>
      <c r="G26" s="43">
        <v>3600000</v>
      </c>
      <c r="H26" s="49">
        <v>2688000</v>
      </c>
      <c r="I26" s="43">
        <v>3600000</v>
      </c>
      <c r="J26" s="49">
        <v>3612000</v>
      </c>
      <c r="K26" s="43">
        <v>3600000</v>
      </c>
      <c r="L26" s="49"/>
    </row>
    <row r="27" spans="1:14" ht="5.25" customHeight="1" x14ac:dyDescent="0.25">
      <c r="A27" s="149"/>
      <c r="B27" s="50"/>
      <c r="C27" s="20"/>
      <c r="D27" s="21"/>
      <c r="E27" s="22"/>
      <c r="F27" s="23"/>
      <c r="G27" s="22"/>
      <c r="H27" s="23"/>
      <c r="I27" s="22"/>
      <c r="J27" s="23"/>
      <c r="K27" s="22"/>
      <c r="L27" s="23"/>
    </row>
    <row r="28" spans="1:14" ht="16.5" thickBot="1" x14ac:dyDescent="0.3">
      <c r="A28" s="149"/>
      <c r="B28" s="47" t="s">
        <v>20</v>
      </c>
      <c r="C28" s="33"/>
      <c r="D28" s="34"/>
      <c r="E28" s="35"/>
      <c r="F28" s="36"/>
      <c r="G28" s="35"/>
      <c r="H28" s="36">
        <v>247500</v>
      </c>
      <c r="I28" s="35"/>
      <c r="J28" s="36">
        <v>257500</v>
      </c>
      <c r="K28" s="35"/>
      <c r="L28" s="36"/>
    </row>
    <row r="29" spans="1:14" ht="17.25" thickTop="1" thickBot="1" x14ac:dyDescent="0.3">
      <c r="A29" s="149"/>
      <c r="B29" s="37" t="s">
        <v>10</v>
      </c>
      <c r="C29" s="38">
        <f t="shared" ref="C29:H29" si="2">SUM(C25:C28)</f>
        <v>5500000</v>
      </c>
      <c r="D29" s="39">
        <f t="shared" si="2"/>
        <v>5973000</v>
      </c>
      <c r="E29" s="40">
        <f t="shared" si="2"/>
        <v>7200000</v>
      </c>
      <c r="F29" s="41">
        <f>SUM(F25:F28)</f>
        <v>7444000</v>
      </c>
      <c r="G29" s="40">
        <f t="shared" si="2"/>
        <v>7200000</v>
      </c>
      <c r="H29" s="41">
        <f t="shared" si="2"/>
        <v>6031500</v>
      </c>
      <c r="I29" s="40">
        <f>SUM(I25:I28)</f>
        <v>7200000</v>
      </c>
      <c r="J29" s="41">
        <f>SUM(J25:J28)</f>
        <v>5309500</v>
      </c>
      <c r="K29" s="40">
        <f>SUM(K25:K28)</f>
        <v>7200000</v>
      </c>
      <c r="L29" s="41">
        <f>SUM(L25:L28)</f>
        <v>0</v>
      </c>
    </row>
    <row r="30" spans="1:14" ht="24.75" customHeight="1" x14ac:dyDescent="0.25">
      <c r="A30" s="149"/>
      <c r="B30" s="130" t="s">
        <v>21</v>
      </c>
      <c r="C30" s="131"/>
      <c r="D30" s="131"/>
      <c r="E30"/>
      <c r="F30"/>
      <c r="G30"/>
      <c r="H30"/>
      <c r="I30"/>
      <c r="J30"/>
    </row>
    <row r="31" spans="1:14" x14ac:dyDescent="0.25">
      <c r="A31" s="149"/>
      <c r="B31" s="42" t="s">
        <v>22</v>
      </c>
      <c r="C31" s="48">
        <v>1700000</v>
      </c>
      <c r="D31" s="44">
        <v>1450000</v>
      </c>
      <c r="E31" s="43">
        <f>1700000-250000</f>
        <v>1450000</v>
      </c>
      <c r="F31" s="49">
        <v>950000</v>
      </c>
      <c r="G31" s="43">
        <f>1700000-250000</f>
        <v>1450000</v>
      </c>
      <c r="H31" s="49">
        <v>1950000</v>
      </c>
      <c r="I31" s="43">
        <f>1700000-250000</f>
        <v>1450000</v>
      </c>
      <c r="J31" s="49">
        <v>1450000</v>
      </c>
      <c r="K31" s="43">
        <f>1700000-250000</f>
        <v>1450000</v>
      </c>
      <c r="L31" s="49"/>
    </row>
    <row r="32" spans="1:14" x14ac:dyDescent="0.25">
      <c r="A32" s="149"/>
      <c r="B32" s="46" t="s">
        <v>23</v>
      </c>
      <c r="C32" s="48">
        <v>500000</v>
      </c>
      <c r="D32" s="44">
        <v>2745300</v>
      </c>
      <c r="E32" s="43">
        <v>2250000</v>
      </c>
      <c r="F32" s="49">
        <v>1275000</v>
      </c>
      <c r="G32" s="43">
        <f>2250000+2200000</f>
        <v>4450000</v>
      </c>
      <c r="H32" s="49">
        <v>4200000</v>
      </c>
      <c r="I32" s="43">
        <v>2500000</v>
      </c>
      <c r="J32" s="49"/>
      <c r="K32" s="43">
        <v>0</v>
      </c>
      <c r="L32" s="49"/>
      <c r="N32" s="51"/>
    </row>
    <row r="33" spans="1:14" x14ac:dyDescent="0.25">
      <c r="A33" s="149"/>
      <c r="B33" s="42" t="s">
        <v>24</v>
      </c>
      <c r="C33" s="48">
        <v>300000</v>
      </c>
      <c r="D33" s="44">
        <v>360000</v>
      </c>
      <c r="E33" s="43">
        <v>360000</v>
      </c>
      <c r="F33" s="49">
        <v>360000</v>
      </c>
      <c r="G33" s="43">
        <v>360000</v>
      </c>
      <c r="H33" s="49">
        <v>360000</v>
      </c>
      <c r="I33" s="43">
        <f>360000+3*80000*12</f>
        <v>3240000</v>
      </c>
      <c r="J33" s="49">
        <v>3480000</v>
      </c>
      <c r="K33" s="43">
        <f>360000+3*80000*12</f>
        <v>3240000</v>
      </c>
      <c r="L33" s="49"/>
    </row>
    <row r="34" spans="1:14" x14ac:dyDescent="0.25">
      <c r="A34" s="149"/>
      <c r="B34" s="46" t="s">
        <v>25</v>
      </c>
      <c r="C34" s="48"/>
      <c r="D34" s="44"/>
      <c r="E34" s="43"/>
      <c r="F34" s="49"/>
      <c r="G34" s="43"/>
      <c r="H34" s="49"/>
      <c r="I34" s="43"/>
      <c r="J34" s="49"/>
      <c r="K34" s="43"/>
      <c r="L34" s="49"/>
    </row>
    <row r="35" spans="1:14" x14ac:dyDescent="0.25">
      <c r="A35" s="149"/>
      <c r="B35" s="46" t="s">
        <v>26</v>
      </c>
      <c r="C35" s="48"/>
      <c r="D35" s="44"/>
      <c r="E35" s="43">
        <v>3000000</v>
      </c>
      <c r="F35" s="49">
        <v>3000000</v>
      </c>
      <c r="G35" s="43">
        <v>2000000</v>
      </c>
      <c r="H35" s="49">
        <v>2000000</v>
      </c>
      <c r="I35" s="43">
        <v>0</v>
      </c>
      <c r="J35" s="49">
        <v>2000000</v>
      </c>
      <c r="K35" s="43">
        <v>0</v>
      </c>
      <c r="L35" s="49"/>
    </row>
    <row r="36" spans="1:14" ht="4.5" customHeight="1" x14ac:dyDescent="0.25">
      <c r="A36" s="149"/>
      <c r="B36" s="52"/>
      <c r="C36" s="20"/>
      <c r="D36" s="21"/>
      <c r="E36" s="22"/>
      <c r="F36" s="23"/>
      <c r="G36" s="22"/>
      <c r="H36" s="23"/>
      <c r="I36" s="22"/>
      <c r="J36" s="23"/>
      <c r="K36" s="22"/>
      <c r="L36" s="23"/>
    </row>
    <row r="37" spans="1:14" ht="16.5" thickBot="1" x14ac:dyDescent="0.3">
      <c r="A37" s="149"/>
      <c r="B37" s="47" t="s">
        <v>96</v>
      </c>
      <c r="C37" s="33"/>
      <c r="D37" s="34">
        <v>1010</v>
      </c>
      <c r="E37" s="35"/>
      <c r="F37" s="36">
        <v>10000</v>
      </c>
      <c r="G37" s="35"/>
      <c r="H37" s="36">
        <v>4403</v>
      </c>
      <c r="I37" s="35"/>
      <c r="J37" s="36">
        <v>625072</v>
      </c>
      <c r="K37" s="35"/>
      <c r="L37" s="36"/>
    </row>
    <row r="38" spans="1:14" ht="17.25" thickTop="1" thickBot="1" x14ac:dyDescent="0.3">
      <c r="A38" s="149"/>
      <c r="B38" s="37" t="s">
        <v>10</v>
      </c>
      <c r="C38" s="38">
        <f t="shared" ref="C38:H38" si="3">SUM(C31:C37)</f>
        <v>2500000</v>
      </c>
      <c r="D38" s="39">
        <f t="shared" si="3"/>
        <v>4556310</v>
      </c>
      <c r="E38" s="40">
        <f t="shared" si="3"/>
        <v>7060000</v>
      </c>
      <c r="F38" s="41">
        <f>SUM(F31:F37)</f>
        <v>5595000</v>
      </c>
      <c r="G38" s="40">
        <f t="shared" si="3"/>
        <v>8260000</v>
      </c>
      <c r="H38" s="41">
        <f t="shared" si="3"/>
        <v>8514403</v>
      </c>
      <c r="I38" s="40">
        <f>SUM(I31:I37)</f>
        <v>7190000</v>
      </c>
      <c r="J38" s="41">
        <f>SUM(J31:J37)</f>
        <v>7555072</v>
      </c>
      <c r="K38" s="40">
        <f>SUM(K31:K37)</f>
        <v>4690000</v>
      </c>
      <c r="L38" s="41">
        <f>SUM(L31:L37)</f>
        <v>0</v>
      </c>
    </row>
    <row r="39" spans="1:14" ht="25.5" customHeight="1" x14ac:dyDescent="0.25">
      <c r="A39" s="149"/>
      <c r="B39" s="132" t="s">
        <v>27</v>
      </c>
      <c r="C39" s="133"/>
      <c r="D39" s="133"/>
      <c r="E39"/>
      <c r="F39"/>
      <c r="G39"/>
      <c r="H39"/>
      <c r="I39"/>
      <c r="J39"/>
    </row>
    <row r="40" spans="1:14" x14ac:dyDescent="0.25">
      <c r="A40" s="149"/>
      <c r="B40" s="46" t="s">
        <v>28</v>
      </c>
      <c r="C40" s="48"/>
      <c r="D40" s="44">
        <v>725450</v>
      </c>
      <c r="E40" s="43"/>
      <c r="F40" s="49">
        <v>1000000</v>
      </c>
      <c r="G40" s="43"/>
      <c r="H40" s="49">
        <v>1266500</v>
      </c>
      <c r="I40" s="43"/>
      <c r="J40" s="49">
        <v>1466057</v>
      </c>
      <c r="K40" s="43"/>
      <c r="L40" s="49"/>
    </row>
    <row r="41" spans="1:14" ht="4.5" customHeight="1" x14ac:dyDescent="0.25">
      <c r="A41" s="149"/>
      <c r="B41" s="52"/>
      <c r="C41" s="20"/>
      <c r="D41" s="21"/>
      <c r="E41" s="22"/>
      <c r="F41" s="23"/>
      <c r="G41" s="22"/>
      <c r="H41" s="23"/>
      <c r="I41" s="22"/>
      <c r="J41" s="23"/>
      <c r="K41" s="22"/>
      <c r="L41" s="23"/>
    </row>
    <row r="42" spans="1:14" ht="16.5" thickBot="1" x14ac:dyDescent="0.3">
      <c r="A42" s="149"/>
      <c r="B42" s="47" t="s">
        <v>29</v>
      </c>
      <c r="C42" s="33"/>
      <c r="D42" s="34"/>
      <c r="E42" s="35"/>
      <c r="F42" s="36">
        <v>11770506</v>
      </c>
      <c r="G42" s="35"/>
      <c r="H42" s="36">
        <v>44758246</v>
      </c>
      <c r="I42" s="35"/>
      <c r="J42" s="36"/>
      <c r="K42" s="35"/>
      <c r="L42" s="36"/>
    </row>
    <row r="43" spans="1:14" ht="17.25" thickTop="1" thickBot="1" x14ac:dyDescent="0.3">
      <c r="A43" s="149"/>
      <c r="B43" s="37" t="s">
        <v>10</v>
      </c>
      <c r="C43" s="38">
        <f t="shared" ref="C43:H43" si="4">SUM(C40:C42)</f>
        <v>0</v>
      </c>
      <c r="D43" s="39">
        <f t="shared" si="4"/>
        <v>725450</v>
      </c>
      <c r="E43" s="40">
        <f t="shared" si="4"/>
        <v>0</v>
      </c>
      <c r="F43" s="41">
        <f>SUM(F40:F42)</f>
        <v>12770506</v>
      </c>
      <c r="G43" s="40">
        <f t="shared" si="4"/>
        <v>0</v>
      </c>
      <c r="H43" s="41">
        <f t="shared" si="4"/>
        <v>46024746</v>
      </c>
      <c r="I43" s="40">
        <f>SUM(I40:I42)</f>
        <v>0</v>
      </c>
      <c r="J43" s="41">
        <f>SUM(J40:J42)</f>
        <v>1466057</v>
      </c>
      <c r="K43" s="40">
        <f>SUM(K40:K42)</f>
        <v>0</v>
      </c>
      <c r="L43" s="41">
        <f>SUM(L40:L42)</f>
        <v>0</v>
      </c>
    </row>
    <row r="44" spans="1:14" s="8" customFormat="1" ht="44.25" customHeight="1" x14ac:dyDescent="0.2">
      <c r="A44" s="149"/>
      <c r="B44" s="53" t="s">
        <v>30</v>
      </c>
      <c r="C44" s="54">
        <f t="shared" ref="C44:H44" si="5">SUM(C15,C23,C29)</f>
        <v>54050000</v>
      </c>
      <c r="D44" s="55">
        <f t="shared" si="5"/>
        <v>56273375</v>
      </c>
      <c r="E44" s="56">
        <f t="shared" si="5"/>
        <v>70527777.777777776</v>
      </c>
      <c r="F44" s="57">
        <f>SUM(F15,F23,F29)</f>
        <v>73494000</v>
      </c>
      <c r="G44" s="56">
        <f t="shared" si="5"/>
        <v>74241452.991452992</v>
      </c>
      <c r="H44" s="57">
        <f t="shared" si="5"/>
        <v>77997000</v>
      </c>
      <c r="I44" s="56">
        <f>SUM(I15,I23,I29)</f>
        <v>90250000</v>
      </c>
      <c r="J44" s="57">
        <f>SUM(J15,J23,J29)</f>
        <v>94447500</v>
      </c>
      <c r="K44" s="56">
        <f>SUM(K15,K23,K29)</f>
        <v>95250000</v>
      </c>
      <c r="L44" s="57">
        <f>SUM(L15,L23,L29)</f>
        <v>0</v>
      </c>
    </row>
    <row r="45" spans="1:14" s="8" customFormat="1" ht="28.5" customHeight="1" x14ac:dyDescent="0.2">
      <c r="A45" s="149"/>
      <c r="B45" s="58" t="s">
        <v>31</v>
      </c>
      <c r="C45" s="59">
        <f t="shared" ref="C45:H45" si="6">SUM(C44,C38)</f>
        <v>56550000</v>
      </c>
      <c r="D45" s="60">
        <f t="shared" si="6"/>
        <v>60829685</v>
      </c>
      <c r="E45" s="61">
        <f t="shared" si="6"/>
        <v>77587777.777777776</v>
      </c>
      <c r="F45" s="62">
        <f>SUM(F44,F38)</f>
        <v>79089000</v>
      </c>
      <c r="G45" s="61">
        <f t="shared" si="6"/>
        <v>82501452.991452992</v>
      </c>
      <c r="H45" s="62">
        <f t="shared" si="6"/>
        <v>86511403</v>
      </c>
      <c r="I45" s="61">
        <f>SUM(I44,I38)</f>
        <v>97440000</v>
      </c>
      <c r="J45" s="62">
        <f>SUM(J44,J38)</f>
        <v>102002572</v>
      </c>
      <c r="K45" s="61">
        <f>SUM(K44,K38)</f>
        <v>99940000</v>
      </c>
      <c r="L45" s="62">
        <f>SUM(L44,L38)</f>
        <v>0</v>
      </c>
    </row>
    <row r="46" spans="1:14" s="8" customFormat="1" ht="28.5" customHeight="1" thickBot="1" x14ac:dyDescent="0.25">
      <c r="A46" s="149"/>
      <c r="B46" s="63" t="s">
        <v>32</v>
      </c>
      <c r="C46" s="64">
        <f t="shared" ref="C46:H46" si="7">SUM(C45,C43)</f>
        <v>56550000</v>
      </c>
      <c r="D46" s="65">
        <f t="shared" si="7"/>
        <v>61555135</v>
      </c>
      <c r="E46" s="66">
        <f t="shared" si="7"/>
        <v>77587777.777777776</v>
      </c>
      <c r="F46" s="67">
        <f>SUM(F45,F43)</f>
        <v>91859506</v>
      </c>
      <c r="G46" s="66">
        <f t="shared" si="7"/>
        <v>82501452.991452992</v>
      </c>
      <c r="H46" s="67">
        <f t="shared" si="7"/>
        <v>132536149</v>
      </c>
      <c r="I46" s="66">
        <f>SUM(I45,I43)</f>
        <v>97440000</v>
      </c>
      <c r="J46" s="67">
        <f>SUM(J45,J43)</f>
        <v>103468629</v>
      </c>
      <c r="K46" s="66">
        <f>SUM(K45,K43)</f>
        <v>99940000</v>
      </c>
      <c r="L46" s="67">
        <f>SUM(L45,L43)</f>
        <v>0</v>
      </c>
    </row>
    <row r="47" spans="1:14" ht="45.75" customHeight="1" thickTop="1" thickBot="1" x14ac:dyDescent="0.3">
      <c r="E47" s="70"/>
      <c r="F47" s="71"/>
      <c r="G47" s="70"/>
      <c r="H47" s="71"/>
      <c r="I47" s="70"/>
      <c r="J47" s="71"/>
      <c r="K47" s="70"/>
      <c r="L47" s="71"/>
    </row>
    <row r="48" spans="1:14" ht="21.75" customHeight="1" thickTop="1" thickBot="1" x14ac:dyDescent="0.35">
      <c r="A48" s="138" t="s">
        <v>33</v>
      </c>
      <c r="B48" s="72" t="s">
        <v>34</v>
      </c>
      <c r="C48" s="139"/>
      <c r="D48" s="139"/>
      <c r="E48" s="73"/>
      <c r="F48" s="74"/>
      <c r="G48" s="73"/>
      <c r="H48" s="74"/>
      <c r="I48" s="73"/>
      <c r="J48" s="74"/>
      <c r="K48" s="73"/>
      <c r="L48" s="74"/>
      <c r="M48" s="75"/>
      <c r="N48" s="75"/>
    </row>
    <row r="49" spans="1:19" ht="15.75" customHeight="1" thickTop="1" x14ac:dyDescent="0.25">
      <c r="A49" s="138"/>
      <c r="B49" s="140" t="s">
        <v>35</v>
      </c>
      <c r="C49" s="141"/>
      <c r="D49" s="141"/>
      <c r="E49" s="76"/>
      <c r="F49" s="77"/>
      <c r="G49" s="76"/>
      <c r="H49" s="77"/>
      <c r="I49" s="76"/>
      <c r="J49" s="77"/>
      <c r="K49" s="76"/>
      <c r="L49" s="77"/>
    </row>
    <row r="50" spans="1:19" ht="15.75" customHeight="1" x14ac:dyDescent="0.25">
      <c r="A50" s="138"/>
      <c r="B50" s="129" t="s">
        <v>36</v>
      </c>
      <c r="C50" s="20">
        <v>9800000</v>
      </c>
      <c r="D50" s="21">
        <v>9560000</v>
      </c>
      <c r="E50" s="22">
        <v>11690000</v>
      </c>
      <c r="F50" s="23">
        <v>11109181</v>
      </c>
      <c r="G50" s="22">
        <v>13482000</v>
      </c>
      <c r="H50" s="23">
        <v>13144000</v>
      </c>
      <c r="I50" s="22">
        <v>17010000</v>
      </c>
      <c r="J50" s="23">
        <v>16953000</v>
      </c>
      <c r="K50" s="22">
        <v>17920000</v>
      </c>
      <c r="L50" s="23"/>
      <c r="M50" s="78"/>
      <c r="N50" s="78"/>
      <c r="O50" s="78"/>
      <c r="P50" s="78"/>
      <c r="Q50" s="78"/>
      <c r="R50" s="78"/>
      <c r="S50" s="78"/>
    </row>
    <row r="51" spans="1:19" ht="15.75" customHeight="1" x14ac:dyDescent="0.25">
      <c r="A51" s="138"/>
      <c r="B51" s="142"/>
      <c r="C51" s="24"/>
      <c r="D51" s="25"/>
      <c r="E51" s="26"/>
      <c r="F51" s="27"/>
      <c r="G51" s="26"/>
      <c r="H51" s="27"/>
      <c r="I51" s="26"/>
      <c r="J51" s="27"/>
      <c r="K51" s="26"/>
      <c r="L51" s="27"/>
      <c r="M51" s="78"/>
      <c r="N51" s="78"/>
      <c r="O51" s="78"/>
      <c r="P51" s="78"/>
      <c r="Q51" s="78"/>
      <c r="R51" s="78"/>
      <c r="S51" s="78"/>
    </row>
    <row r="52" spans="1:19" ht="15.75" customHeight="1" x14ac:dyDescent="0.25">
      <c r="A52" s="138"/>
      <c r="B52" s="143" t="s">
        <v>37</v>
      </c>
      <c r="C52" s="28">
        <v>2700000</v>
      </c>
      <c r="D52" s="29">
        <v>5740000</v>
      </c>
      <c r="E52" s="30">
        <v>3240000</v>
      </c>
      <c r="F52" s="31"/>
      <c r="G52" s="30">
        <f>E52*(1+M1)</f>
        <v>3240000</v>
      </c>
      <c r="H52" s="31">
        <v>3726000</v>
      </c>
      <c r="I52" s="30">
        <v>4100000</v>
      </c>
      <c r="J52" s="31">
        <v>9310000</v>
      </c>
      <c r="K52" s="30">
        <f>4100000*1.1</f>
        <v>4510000</v>
      </c>
      <c r="L52" s="31"/>
      <c r="M52" s="78"/>
      <c r="N52" s="78"/>
      <c r="O52" s="78"/>
      <c r="P52" s="78"/>
      <c r="Q52" s="78"/>
      <c r="R52" s="78"/>
      <c r="S52" s="78"/>
    </row>
    <row r="53" spans="1:19" ht="15.75" customHeight="1" x14ac:dyDescent="0.25">
      <c r="A53" s="138"/>
      <c r="B53" s="142"/>
      <c r="C53" s="24"/>
      <c r="D53" s="25"/>
      <c r="E53" s="26"/>
      <c r="F53" s="27">
        <v>7070000</v>
      </c>
      <c r="G53" s="26"/>
      <c r="H53" s="27"/>
      <c r="I53" s="26"/>
      <c r="J53" s="27"/>
      <c r="K53" s="26"/>
      <c r="L53" s="27"/>
      <c r="M53" s="78"/>
      <c r="N53" s="78"/>
      <c r="O53" s="78"/>
    </row>
    <row r="54" spans="1:19" ht="15.75" customHeight="1" x14ac:dyDescent="0.25">
      <c r="A54" s="138"/>
      <c r="B54" s="127" t="s">
        <v>38</v>
      </c>
      <c r="C54" s="28"/>
      <c r="D54" s="29">
        <v>0</v>
      </c>
      <c r="E54" s="30"/>
      <c r="F54" s="31"/>
      <c r="G54" s="30"/>
      <c r="H54" s="31"/>
      <c r="I54" s="30"/>
      <c r="J54" s="31"/>
      <c r="K54" s="30"/>
      <c r="L54" s="31"/>
      <c r="M54" s="78"/>
      <c r="N54" s="78"/>
      <c r="O54" s="78"/>
    </row>
    <row r="55" spans="1:19" ht="37.5" customHeight="1" x14ac:dyDescent="0.25">
      <c r="A55" s="138"/>
      <c r="B55" s="128"/>
      <c r="C55" s="24">
        <v>3650000</v>
      </c>
      <c r="D55" s="25">
        <v>960000</v>
      </c>
      <c r="E55" s="26">
        <v>4380000</v>
      </c>
      <c r="F55" s="27">
        <v>880000</v>
      </c>
      <c r="G55" s="30">
        <f>E55*(1+M1)</f>
        <v>4380000</v>
      </c>
      <c r="H55" s="27">
        <f>960000+4157000</f>
        <v>5117000</v>
      </c>
      <c r="I55" s="30">
        <v>5600000</v>
      </c>
      <c r="J55" s="27">
        <v>960000</v>
      </c>
      <c r="K55" s="30">
        <f>5600000*1.1</f>
        <v>6160000.0000000009</v>
      </c>
      <c r="L55" s="27"/>
      <c r="M55" s="78"/>
      <c r="N55" s="78"/>
      <c r="O55" s="78"/>
    </row>
    <row r="56" spans="1:19" ht="31.5" customHeight="1" x14ac:dyDescent="0.25">
      <c r="A56" s="138"/>
      <c r="B56" s="127" t="s">
        <v>39</v>
      </c>
      <c r="C56" s="28">
        <v>200000</v>
      </c>
      <c r="D56" s="29">
        <v>258851</v>
      </c>
      <c r="E56" s="30">
        <v>300000</v>
      </c>
      <c r="F56" s="31">
        <v>317747</v>
      </c>
      <c r="G56" s="30">
        <v>300000</v>
      </c>
      <c r="H56" s="31">
        <v>159028</v>
      </c>
      <c r="I56" s="30">
        <v>300000</v>
      </c>
      <c r="J56" s="31">
        <v>198042</v>
      </c>
      <c r="K56" s="30">
        <v>300000</v>
      </c>
      <c r="L56" s="31"/>
      <c r="M56" s="3"/>
      <c r="N56" s="78"/>
      <c r="O56" s="78"/>
    </row>
    <row r="57" spans="1:19" ht="15.75" customHeight="1" x14ac:dyDescent="0.25">
      <c r="A57" s="138"/>
      <c r="B57" s="128"/>
      <c r="C57" s="24"/>
      <c r="D57" s="25"/>
      <c r="E57" s="26"/>
      <c r="F57" s="27"/>
      <c r="G57" s="26"/>
      <c r="H57" s="27"/>
      <c r="I57" s="26"/>
      <c r="J57" s="27"/>
      <c r="K57" s="26"/>
      <c r="L57" s="27"/>
      <c r="M57" s="78"/>
      <c r="N57" s="78"/>
      <c r="O57" s="78"/>
    </row>
    <row r="58" spans="1:19" ht="15.75" customHeight="1" x14ac:dyDescent="0.25">
      <c r="A58" s="138"/>
      <c r="B58" s="129" t="s">
        <v>40</v>
      </c>
      <c r="C58" s="20">
        <v>1400000</v>
      </c>
      <c r="D58" s="21">
        <v>1457183</v>
      </c>
      <c r="E58" s="22">
        <v>1500000</v>
      </c>
      <c r="F58" s="23">
        <v>1549754</v>
      </c>
      <c r="G58" s="22">
        <v>850000</v>
      </c>
      <c r="H58" s="23">
        <v>1812320</v>
      </c>
      <c r="I58" s="22">
        <v>2500000</v>
      </c>
      <c r="J58" s="23">
        <v>3068166</v>
      </c>
      <c r="K58" s="22">
        <v>2688000</v>
      </c>
      <c r="L58" s="23"/>
      <c r="M58" s="79"/>
      <c r="N58" s="78"/>
      <c r="O58" s="78"/>
    </row>
    <row r="59" spans="1:19" ht="15.75" customHeight="1" x14ac:dyDescent="0.25">
      <c r="A59" s="138"/>
      <c r="B59" s="129"/>
      <c r="C59" s="20"/>
      <c r="D59" s="21"/>
      <c r="E59" s="22"/>
      <c r="F59" s="23"/>
      <c r="G59" s="22"/>
      <c r="H59" s="23"/>
      <c r="I59" s="22"/>
      <c r="J59" s="23"/>
      <c r="K59" s="22"/>
      <c r="L59" s="23"/>
    </row>
    <row r="60" spans="1:19" ht="16.5" thickBot="1" x14ac:dyDescent="0.3">
      <c r="A60" s="138"/>
      <c r="B60" s="32"/>
      <c r="C60" s="33"/>
      <c r="D60" s="34"/>
      <c r="E60" s="35"/>
      <c r="F60" s="36"/>
      <c r="G60" s="35"/>
      <c r="H60" s="36"/>
      <c r="I60" s="35"/>
      <c r="J60" s="36"/>
      <c r="K60" s="35"/>
      <c r="L60" s="36"/>
    </row>
    <row r="61" spans="1:19" ht="17.25" thickTop="1" thickBot="1" x14ac:dyDescent="0.3">
      <c r="A61" s="138"/>
      <c r="B61" s="37" t="s">
        <v>10</v>
      </c>
      <c r="C61" s="38">
        <f t="shared" ref="C61:H61" si="8">SUM(C50:C60)</f>
        <v>17750000</v>
      </c>
      <c r="D61" s="39">
        <f t="shared" si="8"/>
        <v>17976034</v>
      </c>
      <c r="E61" s="40">
        <f t="shared" si="8"/>
        <v>21110000</v>
      </c>
      <c r="F61" s="41">
        <f>SUM(F50:F60)</f>
        <v>20926682</v>
      </c>
      <c r="G61" s="40">
        <f t="shared" si="8"/>
        <v>22252000</v>
      </c>
      <c r="H61" s="41">
        <f t="shared" si="8"/>
        <v>23958348</v>
      </c>
      <c r="I61" s="40">
        <f>SUM(I50:I60)</f>
        <v>29510000</v>
      </c>
      <c r="J61" s="41">
        <f>SUM(J50:J60)</f>
        <v>30489208</v>
      </c>
      <c r="K61" s="40">
        <f>SUM(K50:K60)</f>
        <v>31578000</v>
      </c>
      <c r="L61" s="41">
        <f>SUM(L50:L60)</f>
        <v>0</v>
      </c>
    </row>
    <row r="62" spans="1:19" ht="25.5" customHeight="1" x14ac:dyDescent="0.25">
      <c r="A62" s="138"/>
      <c r="B62" s="130" t="s">
        <v>41</v>
      </c>
      <c r="C62" s="131"/>
      <c r="D62" s="131"/>
      <c r="E62"/>
      <c r="F62"/>
      <c r="G62"/>
      <c r="H62"/>
      <c r="I62"/>
      <c r="J62"/>
    </row>
    <row r="63" spans="1:19" x14ac:dyDescent="0.25">
      <c r="A63" s="138"/>
      <c r="B63" s="42" t="s">
        <v>42</v>
      </c>
      <c r="C63" s="43">
        <v>900000</v>
      </c>
      <c r="D63" s="44">
        <v>990600</v>
      </c>
      <c r="E63" s="43">
        <v>780000</v>
      </c>
      <c r="F63" s="45">
        <v>844200</v>
      </c>
      <c r="G63" s="30">
        <f>E63*1.1</f>
        <v>858000.00000000012</v>
      </c>
      <c r="H63" s="45">
        <v>885000</v>
      </c>
      <c r="I63" s="30">
        <f>G63*1.1</f>
        <v>943800.00000000023</v>
      </c>
      <c r="J63" s="45">
        <v>940000</v>
      </c>
      <c r="K63" s="30">
        <f>13*100000</f>
        <v>1300000</v>
      </c>
      <c r="L63" s="45"/>
    </row>
    <row r="64" spans="1:19" x14ac:dyDescent="0.25">
      <c r="A64" s="138"/>
      <c r="B64" s="42" t="s">
        <v>43</v>
      </c>
      <c r="C64" s="43">
        <v>500000</v>
      </c>
      <c r="D64" s="44">
        <v>758727</v>
      </c>
      <c r="E64" s="43">
        <v>500000</v>
      </c>
      <c r="F64" s="45">
        <v>523562</v>
      </c>
      <c r="G64" s="43">
        <v>500000</v>
      </c>
      <c r="H64" s="45">
        <v>1001520</v>
      </c>
      <c r="I64" s="43">
        <v>1000000</v>
      </c>
      <c r="J64" s="45">
        <v>537494</v>
      </c>
      <c r="K64" s="43">
        <v>1000000</v>
      </c>
      <c r="L64" s="45"/>
    </row>
    <row r="65" spans="1:12" x14ac:dyDescent="0.25">
      <c r="A65" s="138"/>
      <c r="B65" s="42" t="s">
        <v>44</v>
      </c>
      <c r="C65" s="43">
        <v>350000</v>
      </c>
      <c r="D65" s="44">
        <v>378209</v>
      </c>
      <c r="E65" s="43">
        <v>350000</v>
      </c>
      <c r="F65" s="45">
        <v>509417</v>
      </c>
      <c r="G65" s="43">
        <v>380000</v>
      </c>
      <c r="H65" s="45">
        <v>755533</v>
      </c>
      <c r="I65" s="43">
        <v>800000</v>
      </c>
      <c r="J65" s="45">
        <v>732274</v>
      </c>
      <c r="K65" s="43">
        <v>800000</v>
      </c>
      <c r="L65" s="45"/>
    </row>
    <row r="66" spans="1:12" x14ac:dyDescent="0.25">
      <c r="A66" s="138"/>
      <c r="B66" s="42" t="s">
        <v>45</v>
      </c>
      <c r="C66" s="43"/>
      <c r="D66" s="44">
        <v>0</v>
      </c>
      <c r="E66" s="43"/>
      <c r="F66" s="45"/>
      <c r="G66" s="43"/>
      <c r="H66" s="45">
        <v>292100</v>
      </c>
      <c r="I66" s="43"/>
      <c r="J66" s="45">
        <v>82550</v>
      </c>
      <c r="K66" s="43">
        <v>130000</v>
      </c>
      <c r="L66" s="45"/>
    </row>
    <row r="67" spans="1:12" x14ac:dyDescent="0.25">
      <c r="A67" s="138"/>
      <c r="B67" s="42" t="s">
        <v>46</v>
      </c>
      <c r="C67" s="43">
        <v>1600000</v>
      </c>
      <c r="D67" s="44">
        <v>1598149</v>
      </c>
      <c r="E67" s="43">
        <v>1600000</v>
      </c>
      <c r="F67" s="45">
        <v>1132223</v>
      </c>
      <c r="G67" s="43">
        <v>1600000</v>
      </c>
      <c r="H67" s="45">
        <v>1083457</v>
      </c>
      <c r="I67" s="43">
        <v>2000000</v>
      </c>
      <c r="J67" s="45">
        <v>1909470</v>
      </c>
      <c r="K67" s="43">
        <v>2000000</v>
      </c>
      <c r="L67" s="45"/>
    </row>
    <row r="68" spans="1:12" x14ac:dyDescent="0.25">
      <c r="A68" s="138"/>
      <c r="B68" s="46" t="s">
        <v>47</v>
      </c>
      <c r="C68" s="20"/>
      <c r="D68" s="21">
        <v>1650223</v>
      </c>
      <c r="E68" s="22"/>
      <c r="F68" s="23"/>
      <c r="G68" s="22"/>
      <c r="H68" s="23"/>
      <c r="I68" s="22">
        <v>800000</v>
      </c>
      <c r="J68" s="23"/>
      <c r="K68" s="22">
        <v>1800000</v>
      </c>
      <c r="L68" s="23"/>
    </row>
    <row r="69" spans="1:12" ht="16.5" thickBot="1" x14ac:dyDescent="0.3">
      <c r="A69" s="138"/>
      <c r="B69" s="47" t="s">
        <v>48</v>
      </c>
      <c r="C69" s="33"/>
      <c r="D69" s="34"/>
      <c r="E69" s="35"/>
      <c r="F69" s="36"/>
      <c r="G69" s="35"/>
      <c r="H69" s="36"/>
      <c r="I69" s="35">
        <v>1700000</v>
      </c>
      <c r="J69" s="36">
        <v>5339916</v>
      </c>
      <c r="K69" s="35">
        <v>1700000</v>
      </c>
      <c r="L69" s="36"/>
    </row>
    <row r="70" spans="1:12" ht="17.25" thickTop="1" thickBot="1" x14ac:dyDescent="0.3">
      <c r="A70" s="138"/>
      <c r="B70" s="37" t="s">
        <v>10</v>
      </c>
      <c r="C70" s="38">
        <f t="shared" ref="C70:H70" si="9">SUM(C63:C69)</f>
        <v>3350000</v>
      </c>
      <c r="D70" s="39">
        <f t="shared" si="9"/>
        <v>5375908</v>
      </c>
      <c r="E70" s="40">
        <f t="shared" si="9"/>
        <v>3230000</v>
      </c>
      <c r="F70" s="41">
        <f>SUM(F63:F69)</f>
        <v>3009402</v>
      </c>
      <c r="G70" s="40">
        <f t="shared" si="9"/>
        <v>3338000</v>
      </c>
      <c r="H70" s="41">
        <f t="shared" si="9"/>
        <v>4017610</v>
      </c>
      <c r="I70" s="40">
        <f>SUM(I63:I69)</f>
        <v>7243800</v>
      </c>
      <c r="J70" s="41">
        <f>SUM(J63:J69)</f>
        <v>9541704</v>
      </c>
      <c r="K70" s="40">
        <f>SUM(K63:K69)</f>
        <v>8730000</v>
      </c>
      <c r="L70" s="41">
        <f>SUM(L63:L69)</f>
        <v>0</v>
      </c>
    </row>
    <row r="71" spans="1:12" ht="26.25" customHeight="1" x14ac:dyDescent="0.25">
      <c r="A71" s="138"/>
      <c r="B71" s="132" t="s">
        <v>49</v>
      </c>
      <c r="C71" s="133"/>
      <c r="D71" s="133"/>
      <c r="E71"/>
      <c r="F71"/>
      <c r="G71"/>
      <c r="H71"/>
      <c r="I71"/>
      <c r="J71"/>
    </row>
    <row r="72" spans="1:12" x14ac:dyDescent="0.25">
      <c r="A72" s="138"/>
      <c r="B72" s="42" t="s">
        <v>50</v>
      </c>
      <c r="C72" s="48">
        <v>1400000</v>
      </c>
      <c r="D72" s="44">
        <v>1395400</v>
      </c>
      <c r="E72" s="43">
        <v>1500000</v>
      </c>
      <c r="F72" s="49">
        <v>1196526</v>
      </c>
      <c r="G72" s="43">
        <v>1500000</v>
      </c>
      <c r="H72" s="49">
        <v>894555</v>
      </c>
      <c r="I72" s="43">
        <v>1500000</v>
      </c>
      <c r="J72" s="49">
        <v>1988724</v>
      </c>
      <c r="K72" s="43">
        <v>3000000</v>
      </c>
      <c r="L72" s="49"/>
    </row>
    <row r="73" spans="1:12" x14ac:dyDescent="0.25">
      <c r="A73" s="138"/>
      <c r="B73" s="42" t="s">
        <v>51</v>
      </c>
      <c r="C73" s="48">
        <v>1200000</v>
      </c>
      <c r="D73" s="44">
        <v>3363508</v>
      </c>
      <c r="E73" s="43">
        <v>2100000</v>
      </c>
      <c r="F73" s="49">
        <v>3026079</v>
      </c>
      <c r="G73" s="43">
        <v>3000000</v>
      </c>
      <c r="H73" s="49">
        <v>2191335</v>
      </c>
      <c r="I73" s="43">
        <v>3000000</v>
      </c>
      <c r="J73" s="49">
        <v>2948292</v>
      </c>
      <c r="K73" s="43">
        <v>3000000</v>
      </c>
      <c r="L73" s="49"/>
    </row>
    <row r="74" spans="1:12" x14ac:dyDescent="0.25">
      <c r="A74" s="138"/>
      <c r="B74" s="50"/>
      <c r="C74" s="20"/>
      <c r="D74" s="21"/>
      <c r="E74" s="22"/>
      <c r="F74" s="23"/>
      <c r="G74" s="22"/>
      <c r="H74" s="23"/>
      <c r="I74" s="22"/>
      <c r="J74" s="23"/>
      <c r="K74" s="22"/>
      <c r="L74" s="23"/>
    </row>
    <row r="75" spans="1:12" ht="16.5" thickBot="1" x14ac:dyDescent="0.3">
      <c r="A75" s="138"/>
      <c r="B75" s="47" t="s">
        <v>52</v>
      </c>
      <c r="C75" s="48">
        <v>350000</v>
      </c>
      <c r="D75" s="34">
        <v>192400</v>
      </c>
      <c r="E75" s="35">
        <v>400000</v>
      </c>
      <c r="F75" s="36">
        <v>333600</v>
      </c>
      <c r="G75" s="35">
        <v>400000</v>
      </c>
      <c r="H75" s="36">
        <v>180600</v>
      </c>
      <c r="I75" s="35">
        <v>400000</v>
      </c>
      <c r="J75" s="36">
        <v>439200</v>
      </c>
      <c r="K75" s="80">
        <v>400000</v>
      </c>
      <c r="L75" s="36"/>
    </row>
    <row r="76" spans="1:12" ht="17.25" thickTop="1" thickBot="1" x14ac:dyDescent="0.3">
      <c r="A76" s="138"/>
      <c r="B76" s="37" t="s">
        <v>10</v>
      </c>
      <c r="C76" s="38">
        <f t="shared" ref="C76:H76" si="10">SUM(C72:C75)</f>
        <v>2950000</v>
      </c>
      <c r="D76" s="39">
        <f t="shared" si="10"/>
        <v>4951308</v>
      </c>
      <c r="E76" s="40">
        <f t="shared" si="10"/>
        <v>4000000</v>
      </c>
      <c r="F76" s="41">
        <f>SUM(F72:F75)</f>
        <v>4556205</v>
      </c>
      <c r="G76" s="40">
        <f t="shared" si="10"/>
        <v>4900000</v>
      </c>
      <c r="H76" s="41">
        <f t="shared" si="10"/>
        <v>3266490</v>
      </c>
      <c r="I76" s="40">
        <f>SUM(I72:I75)</f>
        <v>4900000</v>
      </c>
      <c r="J76" s="41">
        <f>SUM(J72:J75)</f>
        <v>5376216</v>
      </c>
      <c r="K76" s="40">
        <f>SUM(K72:K75)</f>
        <v>6400000</v>
      </c>
      <c r="L76" s="41">
        <f>SUM(L72:L75)</f>
        <v>0</v>
      </c>
    </row>
    <row r="77" spans="1:12" ht="25.5" customHeight="1" x14ac:dyDescent="0.25">
      <c r="A77" s="138"/>
      <c r="B77" s="132" t="s">
        <v>53</v>
      </c>
      <c r="C77" s="133"/>
      <c r="D77" s="133"/>
      <c r="E77"/>
      <c r="F77"/>
      <c r="G77"/>
      <c r="H77"/>
      <c r="I77"/>
      <c r="J77"/>
    </row>
    <row r="78" spans="1:12" x14ac:dyDescent="0.25">
      <c r="A78" s="138"/>
      <c r="B78" s="42" t="s">
        <v>54</v>
      </c>
      <c r="C78" s="48">
        <f>C6*0.3605+C12*0.3057</f>
        <v>15667250</v>
      </c>
      <c r="D78" s="44">
        <v>13532907</v>
      </c>
      <c r="E78" s="48">
        <f>E6*0.3605+E12*0.3057</f>
        <v>20830238.888888888</v>
      </c>
      <c r="F78" s="49">
        <v>27287711</v>
      </c>
      <c r="G78" s="48">
        <f>G6*0.3615+G12*0.3729</f>
        <v>24138279.487179488</v>
      </c>
      <c r="H78" s="49">
        <v>25313005</v>
      </c>
      <c r="I78" s="48">
        <f>I6*0.3676+I12*0.3633</f>
        <v>30104500</v>
      </c>
      <c r="J78" s="49">
        <v>33394867</v>
      </c>
      <c r="K78" s="48">
        <f>K6*0.3676+K12*0.3633</f>
        <v>31940350</v>
      </c>
      <c r="L78" s="49"/>
    </row>
    <row r="79" spans="1:12" x14ac:dyDescent="0.25">
      <c r="A79" s="138"/>
      <c r="B79" s="46" t="s">
        <v>23</v>
      </c>
      <c r="C79" s="48"/>
      <c r="D79" s="44"/>
      <c r="E79" s="43"/>
      <c r="F79" s="49"/>
      <c r="G79" s="43"/>
      <c r="H79" s="49"/>
      <c r="I79" s="43"/>
      <c r="J79" s="49"/>
      <c r="K79" s="43"/>
      <c r="L79" s="49"/>
    </row>
    <row r="80" spans="1:12" x14ac:dyDescent="0.25">
      <c r="A80" s="138"/>
      <c r="B80" s="42" t="s">
        <v>55</v>
      </c>
      <c r="C80" s="48">
        <v>200000</v>
      </c>
      <c r="D80" s="44">
        <v>182080</v>
      </c>
      <c r="E80" s="43">
        <v>200000</v>
      </c>
      <c r="F80" s="49">
        <v>137160</v>
      </c>
      <c r="G80" s="43">
        <f>200000+100000</f>
        <v>300000</v>
      </c>
      <c r="H80" s="49">
        <v>0</v>
      </c>
      <c r="I80" s="43">
        <v>300000</v>
      </c>
      <c r="J80" s="49">
        <v>203200</v>
      </c>
      <c r="K80" s="43">
        <v>300000</v>
      </c>
      <c r="L80" s="49"/>
    </row>
    <row r="81" spans="1:14" x14ac:dyDescent="0.25">
      <c r="A81" s="138"/>
      <c r="B81" s="52"/>
      <c r="C81" s="20"/>
      <c r="D81" s="21"/>
      <c r="E81" s="22"/>
      <c r="F81" s="23"/>
      <c r="G81" s="22"/>
      <c r="H81" s="23"/>
      <c r="I81" s="22"/>
      <c r="J81" s="23"/>
      <c r="K81" s="22"/>
      <c r="L81" s="23"/>
    </row>
    <row r="82" spans="1:14" ht="16.5" thickBot="1" x14ac:dyDescent="0.3">
      <c r="A82" s="138"/>
      <c r="B82" s="47" t="s">
        <v>56</v>
      </c>
      <c r="C82" s="33"/>
      <c r="D82" s="34"/>
      <c r="E82" s="35"/>
      <c r="F82" s="36">
        <v>1352072</v>
      </c>
      <c r="G82" s="35">
        <v>500000</v>
      </c>
      <c r="H82" s="36">
        <v>3653633</v>
      </c>
      <c r="I82" s="35">
        <v>0</v>
      </c>
      <c r="J82" s="36"/>
      <c r="K82" s="35">
        <v>0</v>
      </c>
      <c r="L82" s="36"/>
    </row>
    <row r="83" spans="1:14" ht="17.25" thickTop="1" thickBot="1" x14ac:dyDescent="0.3">
      <c r="A83" s="138"/>
      <c r="B83" s="37" t="s">
        <v>10</v>
      </c>
      <c r="C83" s="38">
        <f t="shared" ref="C83:H83" si="11">SUM(C78:C82)</f>
        <v>15867250</v>
      </c>
      <c r="D83" s="39">
        <f t="shared" si="11"/>
        <v>13714987</v>
      </c>
      <c r="E83" s="40">
        <f t="shared" si="11"/>
        <v>21030238.888888888</v>
      </c>
      <c r="F83" s="39">
        <f>SUM(F78:F82)</f>
        <v>28776943</v>
      </c>
      <c r="G83" s="40">
        <f t="shared" si="11"/>
        <v>24938279.487179488</v>
      </c>
      <c r="H83" s="39">
        <f t="shared" si="11"/>
        <v>28966638</v>
      </c>
      <c r="I83" s="40">
        <f>SUM(I78:I82)</f>
        <v>30404500</v>
      </c>
      <c r="J83" s="39">
        <f>SUM(J78:J82)</f>
        <v>33598067</v>
      </c>
      <c r="K83" s="40">
        <f>SUM(K78:K82)</f>
        <v>32240350</v>
      </c>
      <c r="L83" s="39">
        <f>SUM(L78:L82)</f>
        <v>0</v>
      </c>
    </row>
    <row r="84" spans="1:14" ht="33.75" customHeight="1" x14ac:dyDescent="0.25">
      <c r="A84" s="138"/>
      <c r="B84" s="130" t="s">
        <v>57</v>
      </c>
      <c r="C84" s="131"/>
      <c r="D84" s="131"/>
      <c r="E84"/>
      <c r="F84"/>
      <c r="G84"/>
      <c r="H84"/>
      <c r="I84"/>
      <c r="J84"/>
    </row>
    <row r="85" spans="1:14" x14ac:dyDescent="0.25">
      <c r="A85" s="138"/>
      <c r="B85" s="42" t="s">
        <v>58</v>
      </c>
      <c r="C85" s="48">
        <v>2000000</v>
      </c>
      <c r="D85" s="44">
        <v>1564686</v>
      </c>
      <c r="E85" s="43">
        <v>2300000</v>
      </c>
      <c r="F85" s="49">
        <v>1477637</v>
      </c>
      <c r="G85" s="43">
        <v>2000000</v>
      </c>
      <c r="H85" s="49">
        <v>1696878</v>
      </c>
      <c r="I85" s="43">
        <v>2000000</v>
      </c>
      <c r="J85" s="49">
        <v>1940607</v>
      </c>
      <c r="K85" s="43">
        <v>2500000</v>
      </c>
      <c r="L85" s="49"/>
    </row>
    <row r="86" spans="1:14" x14ac:dyDescent="0.25">
      <c r="A86" s="138"/>
      <c r="B86" s="46" t="s">
        <v>59</v>
      </c>
      <c r="C86" s="48">
        <v>168000</v>
      </c>
      <c r="D86" s="44">
        <v>200720</v>
      </c>
      <c r="E86" s="43">
        <v>168000</v>
      </c>
      <c r="F86" s="49">
        <v>234720</v>
      </c>
      <c r="G86" s="43">
        <v>200000</v>
      </c>
      <c r="H86" s="49">
        <v>412352</v>
      </c>
      <c r="I86" s="43">
        <f>25000*12</f>
        <v>300000</v>
      </c>
      <c r="J86" s="49">
        <v>407628</v>
      </c>
      <c r="K86" s="43">
        <v>410000</v>
      </c>
      <c r="L86" s="49"/>
    </row>
    <row r="87" spans="1:14" x14ac:dyDescent="0.25">
      <c r="A87" s="138"/>
      <c r="B87" s="42" t="s">
        <v>60</v>
      </c>
      <c r="C87" s="48"/>
      <c r="D87" s="44"/>
      <c r="E87" s="43"/>
      <c r="F87" s="49"/>
      <c r="G87" s="43"/>
      <c r="H87" s="49"/>
      <c r="I87" s="43"/>
      <c r="J87" s="49"/>
      <c r="K87" s="43"/>
      <c r="L87" s="49"/>
    </row>
    <row r="88" spans="1:14" x14ac:dyDescent="0.25">
      <c r="A88" s="138"/>
      <c r="B88" s="46" t="s">
        <v>61</v>
      </c>
      <c r="C88" s="48"/>
      <c r="D88" s="44"/>
      <c r="E88" s="43"/>
      <c r="F88" s="49"/>
      <c r="G88" s="43"/>
      <c r="H88" s="49">
        <v>745387</v>
      </c>
      <c r="I88" s="43"/>
      <c r="J88" s="49"/>
      <c r="K88" s="43"/>
      <c r="L88" s="49"/>
    </row>
    <row r="89" spans="1:14" x14ac:dyDescent="0.25">
      <c r="A89" s="138"/>
      <c r="B89" s="46" t="s">
        <v>62</v>
      </c>
      <c r="C89" s="48">
        <v>20000000</v>
      </c>
      <c r="D89" s="44">
        <v>13436461</v>
      </c>
      <c r="E89" s="43">
        <v>18000000</v>
      </c>
      <c r="F89" s="49">
        <v>8853440</v>
      </c>
      <c r="G89" s="43">
        <v>63690000</v>
      </c>
      <c r="H89" s="49">
        <v>74888076</v>
      </c>
      <c r="I89" s="43">
        <v>8000000</v>
      </c>
      <c r="J89" s="49">
        <v>10160433</v>
      </c>
      <c r="K89" s="43">
        <v>3000000</v>
      </c>
      <c r="L89" s="49"/>
    </row>
    <row r="90" spans="1:14" x14ac:dyDescent="0.25">
      <c r="A90" s="138"/>
      <c r="B90" s="52"/>
      <c r="C90" s="20"/>
      <c r="D90" s="21"/>
      <c r="E90" s="22"/>
      <c r="F90" s="23"/>
      <c r="G90" s="22"/>
      <c r="H90" s="23"/>
      <c r="I90" s="22"/>
      <c r="J90" s="23"/>
      <c r="K90" s="22"/>
      <c r="L90" s="23"/>
    </row>
    <row r="91" spans="1:14" ht="15.75" customHeight="1" thickBot="1" x14ac:dyDescent="0.3">
      <c r="A91" s="138"/>
      <c r="B91" s="47" t="s">
        <v>63</v>
      </c>
      <c r="C91" s="33"/>
      <c r="D91" s="34">
        <v>0</v>
      </c>
      <c r="E91" s="35"/>
      <c r="F91" s="36"/>
      <c r="G91" s="35"/>
      <c r="H91" s="36"/>
      <c r="I91" s="35"/>
      <c r="J91" s="36"/>
      <c r="K91" s="35"/>
      <c r="L91" s="36"/>
    </row>
    <row r="92" spans="1:14" ht="15.75" customHeight="1" thickTop="1" x14ac:dyDescent="0.25">
      <c r="A92" s="138"/>
      <c r="B92" s="81" t="s">
        <v>64</v>
      </c>
      <c r="C92" s="82">
        <f t="shared" ref="C92:H92" si="12">SUM(C84:C91,-C89)</f>
        <v>2168000</v>
      </c>
      <c r="D92" s="83">
        <f t="shared" si="12"/>
        <v>1765406</v>
      </c>
      <c r="E92" s="84">
        <f t="shared" si="12"/>
        <v>2468000</v>
      </c>
      <c r="F92" s="85">
        <f>SUM(F84:F91,-F89)</f>
        <v>1712357</v>
      </c>
      <c r="G92" s="84">
        <f t="shared" si="12"/>
        <v>2200000</v>
      </c>
      <c r="H92" s="85">
        <f t="shared" si="12"/>
        <v>2854617</v>
      </c>
      <c r="I92" s="84">
        <f>SUM(I84:I91,-I89)</f>
        <v>2300000</v>
      </c>
      <c r="J92" s="85">
        <f>SUM(J84:J91,-J89)</f>
        <v>2348235</v>
      </c>
      <c r="K92" s="84">
        <f>SUM(K84:K91,-K89)</f>
        <v>2910000</v>
      </c>
      <c r="L92" s="85">
        <f>SUM(L84:L91,-L89)</f>
        <v>0</v>
      </c>
    </row>
    <row r="93" spans="1:14" ht="15.75" customHeight="1" thickBot="1" x14ac:dyDescent="0.3">
      <c r="A93" s="138"/>
      <c r="B93" s="37" t="s">
        <v>65</v>
      </c>
      <c r="C93" s="38">
        <f t="shared" ref="C93:H93" si="13">SUM(C84:C91)</f>
        <v>22168000</v>
      </c>
      <c r="D93" s="39">
        <f t="shared" si="13"/>
        <v>15201867</v>
      </c>
      <c r="E93" s="86">
        <f t="shared" si="13"/>
        <v>20468000</v>
      </c>
      <c r="F93" s="41">
        <f>SUM(F84:F91)</f>
        <v>10565797</v>
      </c>
      <c r="G93" s="86">
        <f t="shared" si="13"/>
        <v>65890000</v>
      </c>
      <c r="H93" s="41">
        <f t="shared" si="13"/>
        <v>77742693</v>
      </c>
      <c r="I93" s="86">
        <f>SUM(I84:I91)</f>
        <v>10300000</v>
      </c>
      <c r="J93" s="41">
        <f>SUM(J84:J91)</f>
        <v>12508668</v>
      </c>
      <c r="K93" s="86">
        <f>SUM(K84:K91)</f>
        <v>5910000</v>
      </c>
      <c r="L93" s="41">
        <f>SUM(L84:L91)</f>
        <v>0</v>
      </c>
    </row>
    <row r="94" spans="1:14" ht="30" customHeight="1" x14ac:dyDescent="0.25">
      <c r="A94" s="138"/>
      <c r="B94" s="132" t="s">
        <v>66</v>
      </c>
      <c r="C94" s="133"/>
      <c r="D94" s="133"/>
      <c r="E94"/>
      <c r="F94"/>
      <c r="G94"/>
      <c r="H94"/>
      <c r="I94"/>
      <c r="J94"/>
    </row>
    <row r="95" spans="1:14" ht="15" customHeight="1" x14ac:dyDescent="0.25">
      <c r="A95" s="138"/>
      <c r="B95" s="42" t="s">
        <v>67</v>
      </c>
      <c r="C95" s="48">
        <v>300000</v>
      </c>
      <c r="D95" s="44">
        <v>2444750</v>
      </c>
      <c r="E95" s="43">
        <v>2025000</v>
      </c>
      <c r="F95" s="49">
        <v>1143000</v>
      </c>
      <c r="G95" s="43">
        <f>2025000+1980000</f>
        <v>4005000</v>
      </c>
      <c r="H95" s="49">
        <v>1981200</v>
      </c>
      <c r="I95" s="43">
        <v>2150000</v>
      </c>
      <c r="J95" s="49">
        <v>1803400</v>
      </c>
      <c r="K95" s="43">
        <v>0</v>
      </c>
      <c r="L95" s="49"/>
      <c r="N95" s="51"/>
    </row>
    <row r="96" spans="1:14" ht="15" customHeight="1" x14ac:dyDescent="0.25">
      <c r="A96" s="138"/>
      <c r="B96" s="52"/>
      <c r="C96" s="20"/>
      <c r="D96" s="21"/>
      <c r="E96" s="22"/>
      <c r="F96" s="23"/>
      <c r="G96" s="22"/>
      <c r="H96" s="23"/>
      <c r="I96" s="22"/>
      <c r="J96" s="23"/>
      <c r="K96" s="22"/>
      <c r="L96" s="23"/>
    </row>
    <row r="97" spans="1:12" ht="15.75" customHeight="1" thickBot="1" x14ac:dyDescent="0.3">
      <c r="A97" s="138"/>
      <c r="B97" s="47" t="s">
        <v>56</v>
      </c>
      <c r="C97" s="33"/>
      <c r="D97" s="34">
        <v>0</v>
      </c>
      <c r="E97" s="35"/>
      <c r="F97" s="36">
        <v>66675</v>
      </c>
      <c r="G97" s="35"/>
      <c r="H97" s="36"/>
      <c r="I97" s="35"/>
      <c r="J97" s="36"/>
      <c r="K97" s="35"/>
      <c r="L97" s="36"/>
    </row>
    <row r="98" spans="1:12" ht="16.5" customHeight="1" thickTop="1" thickBot="1" x14ac:dyDescent="0.3">
      <c r="A98" s="138"/>
      <c r="B98" s="37" t="s">
        <v>10</v>
      </c>
      <c r="C98" s="38">
        <f t="shared" ref="C98:H98" si="14">SUM(C95:C97)</f>
        <v>300000</v>
      </c>
      <c r="D98" s="39">
        <f t="shared" si="14"/>
        <v>2444750</v>
      </c>
      <c r="E98" s="40">
        <f t="shared" si="14"/>
        <v>2025000</v>
      </c>
      <c r="F98" s="39">
        <f>SUM(F95:F97)</f>
        <v>1209675</v>
      </c>
      <c r="G98" s="40">
        <f t="shared" si="14"/>
        <v>4005000</v>
      </c>
      <c r="H98" s="39">
        <f t="shared" si="14"/>
        <v>1981200</v>
      </c>
      <c r="I98" s="40">
        <f>SUM(I95:I97)</f>
        <v>2150000</v>
      </c>
      <c r="J98" s="39">
        <f>SUM(J95:J97)</f>
        <v>1803400</v>
      </c>
      <c r="K98" s="40">
        <f>SUM(K95:K97)</f>
        <v>0</v>
      </c>
      <c r="L98" s="39">
        <f>SUM(L95:L97)</f>
        <v>0</v>
      </c>
    </row>
    <row r="99" spans="1:12" ht="28.5" customHeight="1" x14ac:dyDescent="0.25">
      <c r="A99" s="138"/>
      <c r="B99" s="132" t="s">
        <v>68</v>
      </c>
      <c r="C99" s="133"/>
      <c r="D99" s="133"/>
      <c r="E99"/>
      <c r="F99"/>
      <c r="G99"/>
      <c r="H99"/>
      <c r="I99"/>
      <c r="J99"/>
    </row>
    <row r="100" spans="1:12" ht="15" customHeight="1" x14ac:dyDescent="0.25">
      <c r="A100" s="138"/>
      <c r="B100" s="46" t="s">
        <v>69</v>
      </c>
      <c r="C100" s="48"/>
      <c r="D100" s="44">
        <v>725450</v>
      </c>
      <c r="E100" s="43"/>
      <c r="F100" s="49">
        <v>961000</v>
      </c>
      <c r="G100" s="43"/>
      <c r="H100" s="49">
        <v>1305500</v>
      </c>
      <c r="I100" s="43"/>
      <c r="J100" s="49">
        <v>1466057</v>
      </c>
      <c r="K100" s="43"/>
      <c r="L100" s="49"/>
    </row>
    <row r="101" spans="1:12" ht="15" customHeight="1" x14ac:dyDescent="0.25">
      <c r="A101" s="138"/>
      <c r="B101" s="46" t="s">
        <v>97</v>
      </c>
      <c r="C101" s="20"/>
      <c r="D101" s="21">
        <v>1010</v>
      </c>
      <c r="E101" s="22"/>
      <c r="F101" s="23"/>
      <c r="G101" s="22"/>
      <c r="H101" s="23"/>
      <c r="I101" s="22"/>
      <c r="J101" s="23">
        <v>625072</v>
      </c>
      <c r="K101" s="22"/>
      <c r="L101" s="23"/>
    </row>
    <row r="102" spans="1:12" ht="15" customHeight="1" x14ac:dyDescent="0.25">
      <c r="A102" s="138"/>
      <c r="B102" s="87" t="s">
        <v>70</v>
      </c>
      <c r="C102" s="20">
        <v>2500000</v>
      </c>
      <c r="D102" s="21"/>
      <c r="E102" s="22">
        <v>2500000</v>
      </c>
      <c r="F102" s="23"/>
      <c r="G102" s="22">
        <v>2500000</v>
      </c>
      <c r="H102" s="23"/>
      <c r="I102" s="22">
        <v>2500000</v>
      </c>
      <c r="J102" s="23"/>
      <c r="K102" s="22">
        <v>2500000</v>
      </c>
      <c r="L102" s="23"/>
    </row>
    <row r="103" spans="1:12" ht="15.75" customHeight="1" thickBot="1" x14ac:dyDescent="0.3">
      <c r="A103" s="138"/>
      <c r="B103" s="47" t="s">
        <v>71</v>
      </c>
      <c r="C103" s="33"/>
      <c r="D103" s="34"/>
      <c r="E103" s="35"/>
      <c r="F103" s="36"/>
      <c r="G103" s="35"/>
      <c r="H103" s="36">
        <v>4403</v>
      </c>
      <c r="I103" s="35"/>
      <c r="J103" s="36"/>
      <c r="K103" s="35"/>
      <c r="L103" s="36"/>
    </row>
    <row r="104" spans="1:12" ht="16.5" customHeight="1" thickTop="1" thickBot="1" x14ac:dyDescent="0.3">
      <c r="A104" s="138"/>
      <c r="B104" s="88" t="s">
        <v>10</v>
      </c>
      <c r="C104" s="38">
        <f t="shared" ref="C104:H104" si="15">SUM(C100:C103)</f>
        <v>2500000</v>
      </c>
      <c r="D104" s="39">
        <f t="shared" si="15"/>
        <v>726460</v>
      </c>
      <c r="E104" s="40">
        <f t="shared" si="15"/>
        <v>2500000</v>
      </c>
      <c r="F104" s="41">
        <f>SUM(F100:F103)</f>
        <v>961000</v>
      </c>
      <c r="G104" s="40">
        <f t="shared" si="15"/>
        <v>2500000</v>
      </c>
      <c r="H104" s="41">
        <f t="shared" si="15"/>
        <v>1309903</v>
      </c>
      <c r="I104" s="40">
        <f>SUM(I100:I103)</f>
        <v>2500000</v>
      </c>
      <c r="J104" s="41">
        <f>SUM(J100:J103)</f>
        <v>2091129</v>
      </c>
      <c r="K104" s="40">
        <f>SUM(K100:K103)</f>
        <v>2500000</v>
      </c>
      <c r="L104" s="41">
        <f>SUM(L100:L103)</f>
        <v>0</v>
      </c>
    </row>
    <row r="105" spans="1:12" ht="26.25" x14ac:dyDescent="0.25">
      <c r="A105" s="138"/>
      <c r="B105" s="53" t="s">
        <v>72</v>
      </c>
      <c r="C105" s="54">
        <f t="shared" ref="C105:H105" si="16">SUM(C61,C70,C76,C83)</f>
        <v>39917250</v>
      </c>
      <c r="D105" s="55">
        <f t="shared" si="16"/>
        <v>42018237</v>
      </c>
      <c r="E105" s="56">
        <f t="shared" si="16"/>
        <v>49370238.888888888</v>
      </c>
      <c r="F105" s="57">
        <f>SUM(F61,F70,F76,F83)</f>
        <v>57269232</v>
      </c>
      <c r="G105" s="56">
        <f t="shared" si="16"/>
        <v>55428279.487179488</v>
      </c>
      <c r="H105" s="57">
        <f t="shared" si="16"/>
        <v>60209086</v>
      </c>
      <c r="I105" s="56">
        <f>SUM(I61,I70,I76,I83)</f>
        <v>72058300</v>
      </c>
      <c r="J105" s="57">
        <f>SUM(J61,J70,J76,J83)</f>
        <v>79005195</v>
      </c>
      <c r="K105" s="56">
        <f>SUM(K61,K70,K76,K83)</f>
        <v>78948350</v>
      </c>
      <c r="L105" s="57">
        <f>SUM(L61,L70,L76,L83)</f>
        <v>0</v>
      </c>
    </row>
    <row r="106" spans="1:12" ht="26.25" x14ac:dyDescent="0.25">
      <c r="A106" s="138"/>
      <c r="B106" s="89" t="s">
        <v>73</v>
      </c>
      <c r="C106" s="59">
        <f t="shared" ref="C106:H106" si="17">C105+C92</f>
        <v>42085250</v>
      </c>
      <c r="D106" s="60">
        <f t="shared" si="17"/>
        <v>43783643</v>
      </c>
      <c r="E106" s="61">
        <f t="shared" si="17"/>
        <v>51838238.888888888</v>
      </c>
      <c r="F106" s="62">
        <f>F105+F92</f>
        <v>58981589</v>
      </c>
      <c r="G106" s="61">
        <f t="shared" si="17"/>
        <v>57628279.487179488</v>
      </c>
      <c r="H106" s="62">
        <f t="shared" si="17"/>
        <v>63063703</v>
      </c>
      <c r="I106" s="61">
        <f>I105+I92</f>
        <v>74358300</v>
      </c>
      <c r="J106" s="62">
        <f>J105+J92</f>
        <v>81353430</v>
      </c>
      <c r="K106" s="61">
        <f>K105+K92</f>
        <v>81858350</v>
      </c>
      <c r="L106" s="62">
        <f>L105+L92</f>
        <v>0</v>
      </c>
    </row>
    <row r="107" spans="1:12" ht="26.25" x14ac:dyDescent="0.25">
      <c r="A107" s="138"/>
      <c r="B107" s="90" t="s">
        <v>74</v>
      </c>
      <c r="C107" s="59">
        <f t="shared" ref="C107:H107" si="18">C106+C89+C98</f>
        <v>62385250</v>
      </c>
      <c r="D107" s="60">
        <f t="shared" si="18"/>
        <v>59664854</v>
      </c>
      <c r="E107" s="84">
        <f t="shared" si="18"/>
        <v>71863238.888888896</v>
      </c>
      <c r="F107" s="62">
        <f>F106+F89+F98</f>
        <v>69044704</v>
      </c>
      <c r="G107" s="84">
        <f t="shared" si="18"/>
        <v>125323279.48717949</v>
      </c>
      <c r="H107" s="62">
        <f t="shared" si="18"/>
        <v>139932979</v>
      </c>
      <c r="I107" s="84">
        <f>I106+I89+I98</f>
        <v>84508300</v>
      </c>
      <c r="J107" s="62">
        <f>J106+J89+J98</f>
        <v>93317263</v>
      </c>
      <c r="K107" s="84">
        <f>K106+K89+K98</f>
        <v>84858350</v>
      </c>
      <c r="L107" s="62">
        <f>L106+L89+L98</f>
        <v>0</v>
      </c>
    </row>
    <row r="108" spans="1:12" ht="15.75" customHeight="1" thickBot="1" x14ac:dyDescent="0.3">
      <c r="A108" s="138"/>
      <c r="B108" s="91" t="s">
        <v>75</v>
      </c>
      <c r="C108" s="64">
        <f t="shared" ref="C108:H108" si="19">C107+C104</f>
        <v>64885250</v>
      </c>
      <c r="D108" s="65">
        <f t="shared" si="19"/>
        <v>60391314</v>
      </c>
      <c r="E108" s="92">
        <f t="shared" si="19"/>
        <v>74363238.888888896</v>
      </c>
      <c r="F108" s="67">
        <f>F107+F104</f>
        <v>70005704</v>
      </c>
      <c r="G108" s="92">
        <f t="shared" si="19"/>
        <v>127823279.48717949</v>
      </c>
      <c r="H108" s="67">
        <f t="shared" si="19"/>
        <v>141242882</v>
      </c>
      <c r="I108" s="92">
        <f>I107+I104</f>
        <v>87008300</v>
      </c>
      <c r="J108" s="67">
        <f>J107+J104</f>
        <v>95408392</v>
      </c>
      <c r="K108" s="92">
        <f>K107+K104</f>
        <v>87358350</v>
      </c>
      <c r="L108" s="67">
        <f>L107+L104</f>
        <v>0</v>
      </c>
    </row>
    <row r="109" spans="1:12" ht="40.5" customHeight="1" thickTop="1" thickBot="1" x14ac:dyDescent="0.3">
      <c r="E109" s="70"/>
      <c r="F109" s="71"/>
      <c r="G109" s="70"/>
      <c r="H109" s="71"/>
      <c r="I109" s="70"/>
      <c r="J109" s="71"/>
      <c r="K109" s="70"/>
      <c r="L109" s="71"/>
    </row>
    <row r="110" spans="1:12" ht="21.75" thickTop="1" thickBot="1" x14ac:dyDescent="0.35">
      <c r="B110" s="134" t="s">
        <v>76</v>
      </c>
      <c r="C110" s="135"/>
      <c r="D110" s="135"/>
      <c r="E110"/>
      <c r="F110"/>
      <c r="G110"/>
      <c r="H110"/>
      <c r="I110"/>
      <c r="J110"/>
    </row>
    <row r="111" spans="1:12" ht="16.5" thickTop="1" x14ac:dyDescent="0.25">
      <c r="B111" s="93" t="s">
        <v>77</v>
      </c>
      <c r="C111" s="94">
        <f t="shared" ref="C111:H111" si="20">C44-C105</f>
        <v>14132750</v>
      </c>
      <c r="D111" s="95">
        <f t="shared" si="20"/>
        <v>14255138</v>
      </c>
      <c r="E111" s="94">
        <f t="shared" si="20"/>
        <v>21157538.888888888</v>
      </c>
      <c r="F111" s="96">
        <f>F44-F105</f>
        <v>16224768</v>
      </c>
      <c r="G111" s="94">
        <f t="shared" si="20"/>
        <v>18813173.504273504</v>
      </c>
      <c r="H111" s="96">
        <f t="shared" si="20"/>
        <v>17787914</v>
      </c>
      <c r="I111" s="94">
        <f>I44-I105</f>
        <v>18191700</v>
      </c>
      <c r="J111" s="96">
        <f>J44-J105</f>
        <v>15442305</v>
      </c>
      <c r="K111" s="94">
        <f>K44-K105</f>
        <v>16301650</v>
      </c>
      <c r="L111" s="96">
        <f>L44-L105</f>
        <v>0</v>
      </c>
    </row>
    <row r="112" spans="1:12" x14ac:dyDescent="0.25">
      <c r="B112" s="97" t="s">
        <v>78</v>
      </c>
      <c r="C112" s="98">
        <f t="shared" ref="C112:H112" si="21">C44-C106</f>
        <v>11964750</v>
      </c>
      <c r="D112" s="99">
        <f t="shared" si="21"/>
        <v>12489732</v>
      </c>
      <c r="E112" s="98">
        <f t="shared" si="21"/>
        <v>18689538.888888888</v>
      </c>
      <c r="F112" s="49">
        <f>F44-F106</f>
        <v>14512411</v>
      </c>
      <c r="G112" s="98">
        <f t="shared" si="21"/>
        <v>16613173.504273504</v>
      </c>
      <c r="H112" s="49">
        <f t="shared" si="21"/>
        <v>14933297</v>
      </c>
      <c r="I112" s="98">
        <f>I44-I106</f>
        <v>15891700</v>
      </c>
      <c r="J112" s="49">
        <f>J44-J106</f>
        <v>13094070</v>
      </c>
      <c r="K112" s="98">
        <f>K44-K106</f>
        <v>13391650</v>
      </c>
      <c r="L112" s="49">
        <f>L44-L106</f>
        <v>0</v>
      </c>
    </row>
    <row r="113" spans="1:12" x14ac:dyDescent="0.25">
      <c r="B113" s="97" t="s">
        <v>79</v>
      </c>
      <c r="C113" s="98">
        <f t="shared" ref="C113:H113" si="22">C38-C98</f>
        <v>2200000</v>
      </c>
      <c r="D113" s="99">
        <f t="shared" si="22"/>
        <v>2111560</v>
      </c>
      <c r="E113" s="98">
        <f t="shared" si="22"/>
        <v>5035000</v>
      </c>
      <c r="F113" s="49">
        <f>F38-F98</f>
        <v>4385325</v>
      </c>
      <c r="G113" s="98">
        <f t="shared" si="22"/>
        <v>4255000</v>
      </c>
      <c r="H113" s="49">
        <f t="shared" si="22"/>
        <v>6533203</v>
      </c>
      <c r="I113" s="98">
        <f>I38-I98</f>
        <v>5040000</v>
      </c>
      <c r="J113" s="49">
        <f>J38-J98</f>
        <v>5751672</v>
      </c>
      <c r="K113" s="98">
        <f>K38-K98</f>
        <v>4690000</v>
      </c>
      <c r="L113" s="49">
        <f>L38-L98</f>
        <v>0</v>
      </c>
    </row>
    <row r="114" spans="1:12" x14ac:dyDescent="0.25">
      <c r="B114" s="97" t="s">
        <v>80</v>
      </c>
      <c r="C114" s="98">
        <f t="shared" ref="C114:L115" si="23">C45-C107</f>
        <v>-5835250</v>
      </c>
      <c r="D114" s="99">
        <f t="shared" si="23"/>
        <v>1164831</v>
      </c>
      <c r="E114" s="98">
        <f t="shared" si="23"/>
        <v>5724538.8888888806</v>
      </c>
      <c r="F114" s="49">
        <f t="shared" si="23"/>
        <v>10044296</v>
      </c>
      <c r="G114" s="98">
        <f t="shared" si="23"/>
        <v>-42821826.495726496</v>
      </c>
      <c r="H114" s="49">
        <f t="shared" si="23"/>
        <v>-53421576</v>
      </c>
      <c r="I114" s="98">
        <f t="shared" si="23"/>
        <v>12931700</v>
      </c>
      <c r="J114" s="49">
        <f t="shared" si="23"/>
        <v>8685309</v>
      </c>
      <c r="K114" s="98">
        <f t="shared" si="23"/>
        <v>15081650</v>
      </c>
      <c r="L114" s="49">
        <f t="shared" si="23"/>
        <v>0</v>
      </c>
    </row>
    <row r="115" spans="1:12" s="8" customFormat="1" ht="32.25" thickBot="1" x14ac:dyDescent="0.3">
      <c r="A115" s="100"/>
      <c r="B115" s="101" t="s">
        <v>81</v>
      </c>
      <c r="C115" s="102">
        <f t="shared" si="23"/>
        <v>-8335250</v>
      </c>
      <c r="D115" s="103">
        <f t="shared" si="23"/>
        <v>1163821</v>
      </c>
      <c r="E115" s="102">
        <f t="shared" si="23"/>
        <v>3224538.8888888806</v>
      </c>
      <c r="F115" s="104">
        <f t="shared" si="23"/>
        <v>21853802</v>
      </c>
      <c r="G115" s="102">
        <f t="shared" si="23"/>
        <v>-45321826.495726496</v>
      </c>
      <c r="H115" s="104">
        <f t="shared" si="23"/>
        <v>-8706733</v>
      </c>
      <c r="I115" s="102">
        <f t="shared" si="23"/>
        <v>10431700</v>
      </c>
      <c r="J115" s="104">
        <f t="shared" si="23"/>
        <v>8060237</v>
      </c>
      <c r="K115" s="102">
        <f t="shared" si="23"/>
        <v>12581650</v>
      </c>
      <c r="L115" s="104">
        <f t="shared" si="23"/>
        <v>0</v>
      </c>
    </row>
    <row r="116" spans="1:12" ht="45.95" customHeight="1" thickTop="1" thickBot="1" x14ac:dyDescent="0.3">
      <c r="E116" s="105"/>
      <c r="F116" s="106"/>
      <c r="G116" s="70"/>
      <c r="H116" s="106"/>
    </row>
    <row r="117" spans="1:12" ht="34.5" customHeight="1" thickTop="1" x14ac:dyDescent="0.25">
      <c r="B117" s="136" t="s">
        <v>82</v>
      </c>
      <c r="C117" s="137"/>
      <c r="D117" s="137"/>
      <c r="E117" s="107"/>
      <c r="F117"/>
      <c r="G117" s="108"/>
      <c r="H117" s="107"/>
      <c r="I117"/>
      <c r="J117"/>
    </row>
    <row r="118" spans="1:12" ht="27" customHeight="1" x14ac:dyDescent="0.25">
      <c r="B118" s="109" t="s">
        <v>83</v>
      </c>
      <c r="C118" s="110"/>
      <c r="D118" s="49">
        <v>188285</v>
      </c>
      <c r="E118" s="107"/>
      <c r="F118"/>
      <c r="G118" s="111">
        <v>73754</v>
      </c>
      <c r="H118" s="107"/>
      <c r="I118"/>
      <c r="J118"/>
    </row>
    <row r="119" spans="1:12" ht="27" customHeight="1" x14ac:dyDescent="0.25">
      <c r="B119" s="112" t="s">
        <v>98</v>
      </c>
      <c r="C119" s="98"/>
      <c r="D119" s="49">
        <v>13027585</v>
      </c>
      <c r="E119" s="107"/>
      <c r="F119"/>
      <c r="G119" s="111">
        <v>12492558</v>
      </c>
      <c r="H119" s="107"/>
      <c r="I119"/>
      <c r="J119"/>
    </row>
    <row r="120" spans="1:12" ht="27" customHeight="1" x14ac:dyDescent="0.25">
      <c r="B120" s="112" t="s">
        <v>84</v>
      </c>
      <c r="C120" s="98"/>
      <c r="D120" s="49">
        <v>44380000</v>
      </c>
      <c r="E120" s="107"/>
      <c r="F120"/>
      <c r="G120" s="111"/>
      <c r="H120" s="107"/>
      <c r="I120"/>
      <c r="J120"/>
    </row>
    <row r="121" spans="1:12" s="8" customFormat="1" ht="29.1" customHeight="1" thickBot="1" x14ac:dyDescent="0.3">
      <c r="A121" s="100"/>
      <c r="B121" s="113" t="s">
        <v>85</v>
      </c>
      <c r="C121" s="102"/>
      <c r="D121" s="114">
        <v>57595870</v>
      </c>
      <c r="E121" s="14"/>
      <c r="G121" s="115">
        <f>SUM(G118:G120)</f>
        <v>12566312</v>
      </c>
      <c r="H121" s="14"/>
    </row>
    <row r="122" spans="1:12" ht="17.25" thickTop="1" thickBot="1" x14ac:dyDescent="0.3">
      <c r="E122"/>
      <c r="F122"/>
      <c r="G122"/>
      <c r="H122"/>
      <c r="I122"/>
      <c r="J122"/>
    </row>
    <row r="123" spans="1:12" ht="21.75" thickTop="1" thickBot="1" x14ac:dyDescent="0.3">
      <c r="B123" s="124" t="s">
        <v>86</v>
      </c>
      <c r="C123" s="125"/>
      <c r="D123" s="126"/>
    </row>
    <row r="124" spans="1:12" ht="16.5" thickTop="1" x14ac:dyDescent="0.25">
      <c r="B124" s="93" t="s">
        <v>87</v>
      </c>
      <c r="C124" s="94"/>
      <c r="D124" s="116">
        <v>0</v>
      </c>
    </row>
    <row r="125" spans="1:12" x14ac:dyDescent="0.25">
      <c r="B125" s="112" t="s">
        <v>88</v>
      </c>
      <c r="C125" s="98"/>
      <c r="D125" s="117">
        <f>D118+D124</f>
        <v>188285</v>
      </c>
    </row>
    <row r="126" spans="1:12" x14ac:dyDescent="0.25">
      <c r="B126" s="112" t="s">
        <v>89</v>
      </c>
      <c r="C126" s="98"/>
      <c r="D126" s="117">
        <v>-29570611.965811968</v>
      </c>
    </row>
    <row r="127" spans="1:12" x14ac:dyDescent="0.25">
      <c r="B127" s="112" t="s">
        <v>90</v>
      </c>
      <c r="C127" s="98"/>
      <c r="D127" s="117">
        <f>D119+D126</f>
        <v>-16543026.965811968</v>
      </c>
    </row>
    <row r="128" spans="1:12" x14ac:dyDescent="0.25">
      <c r="B128" s="112" t="s">
        <v>91</v>
      </c>
      <c r="C128" s="98"/>
      <c r="D128" s="117">
        <v>-10150000</v>
      </c>
      <c r="G128" s="118"/>
    </row>
    <row r="129" spans="2:4" x14ac:dyDescent="0.25">
      <c r="B129" s="112" t="s">
        <v>92</v>
      </c>
      <c r="C129" s="98"/>
      <c r="D129" s="117">
        <f>D120+D128</f>
        <v>34230000</v>
      </c>
    </row>
    <row r="130" spans="2:4" x14ac:dyDescent="0.25">
      <c r="B130" s="119" t="s">
        <v>93</v>
      </c>
      <c r="C130" s="120"/>
      <c r="D130" s="121">
        <v>5000000</v>
      </c>
    </row>
    <row r="131" spans="2:4" ht="32.25" thickBot="1" x14ac:dyDescent="0.3">
      <c r="B131" s="113" t="s">
        <v>94</v>
      </c>
      <c r="C131" s="102"/>
      <c r="D131" s="122">
        <f>D124+D126+D128+D130</f>
        <v>-34720611.965811968</v>
      </c>
    </row>
    <row r="132" spans="2:4" ht="27" thickTop="1" x14ac:dyDescent="0.25">
      <c r="B132" s="123" t="s">
        <v>95</v>
      </c>
      <c r="D132" s="118">
        <f>G115-(D131-D130)+D130</f>
        <v>-601214.52991452813</v>
      </c>
    </row>
  </sheetData>
  <mergeCells count="32">
    <mergeCell ref="A4:A46"/>
    <mergeCell ref="B4:D4"/>
    <mergeCell ref="B6:B7"/>
    <mergeCell ref="B8:B9"/>
    <mergeCell ref="B10:B11"/>
    <mergeCell ref="B12:B13"/>
    <mergeCell ref="B16:D16"/>
    <mergeCell ref="B24:D24"/>
    <mergeCell ref="B30:D30"/>
    <mergeCell ref="B39:D39"/>
    <mergeCell ref="C1:D1"/>
    <mergeCell ref="E1:F1"/>
    <mergeCell ref="G1:H1"/>
    <mergeCell ref="I1:J1"/>
    <mergeCell ref="K1:L1"/>
    <mergeCell ref="A48:A108"/>
    <mergeCell ref="C48:D48"/>
    <mergeCell ref="B49:D49"/>
    <mergeCell ref="B50:B51"/>
    <mergeCell ref="B52:B53"/>
    <mergeCell ref="B123:D123"/>
    <mergeCell ref="B54:B55"/>
    <mergeCell ref="B56:B57"/>
    <mergeCell ref="B58:B59"/>
    <mergeCell ref="B62:D62"/>
    <mergeCell ref="B71:D71"/>
    <mergeCell ref="B77:D77"/>
    <mergeCell ref="B84:D84"/>
    <mergeCell ref="B94:D94"/>
    <mergeCell ref="B99:D99"/>
    <mergeCell ref="B110:D110"/>
    <mergeCell ref="B117:D117"/>
  </mergeCells>
  <conditionalFormatting sqref="D124">
    <cfRule type="cellIs" dxfId="3" priority="1" stopIfTrue="1" operator="greaterThan">
      <formula>$D$118</formula>
    </cfRule>
  </conditionalFormatting>
  <conditionalFormatting sqref="D126">
    <cfRule type="cellIs" dxfId="2" priority="2" stopIfTrue="1" operator="greaterThan">
      <formula>$D$119</formula>
    </cfRule>
  </conditionalFormatting>
  <conditionalFormatting sqref="D132">
    <cfRule type="cellIs" dxfId="1" priority="3" stopIfTrue="1" operator="notEqual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György Bartal</dc:creator>
  <cp:lastModifiedBy>Kamara</cp:lastModifiedBy>
  <dcterms:created xsi:type="dcterms:W3CDTF">2026-01-13T18:03:33Z</dcterms:created>
  <dcterms:modified xsi:type="dcterms:W3CDTF">2026-02-27T09:40:33Z</dcterms:modified>
</cp:coreProperties>
</file>